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5.12-16.12\"/>
    </mc:Choice>
  </mc:AlternateContent>
  <xr:revisionPtr revIDLastSave="0" documentId="13_ncr:1_{63951D0B-1BC4-4021-9915-C7023592B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G235" i="4" s="1"/>
  <c r="B235" i="4"/>
  <c r="H232" i="4"/>
  <c r="E232" i="4"/>
  <c r="D232" i="4"/>
  <c r="C232" i="4"/>
  <c r="F232" i="4" s="1"/>
  <c r="B232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F202" i="4" s="1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G37" i="4" l="1"/>
  <c r="F37" i="4"/>
  <c r="F21" i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H17" i="4"/>
  <c r="E17" i="4"/>
  <c r="D17" i="4"/>
  <c r="B17" i="4"/>
  <c r="G11" i="4"/>
  <c r="G14" i="4" s="1"/>
  <c r="F11" i="4"/>
  <c r="F14" i="4" s="1"/>
  <c r="B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H25" i="1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<sst xmlns="http://schemas.openxmlformats.org/spreadsheetml/2006/main" count="415" uniqueCount="190">
  <si>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</si>
  <si>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</si>
  <si>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</si>
  <si>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</si>
  <si>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</si>
  <si>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</si>
  <si>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</si>
  <si>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</si>
  <si>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</si>
  <si>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</si>
  <si>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</si>
  <si>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</si>
  <si>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</si>
  <si>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</si>
  <si>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</si>
  <si>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</si>
  <si>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</si>
  <si>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</si>
  <si>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</si>
  <si>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</si>
  <si>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</si>
  <si>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</si>
  <si>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</si>
  <si>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</si>
  <si>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</si>
  <si>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</si>
  <si>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</si>
  <si>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</si>
  <si>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</si>
  <si>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</si>
  <si>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</si>
  <si>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</si>
  <si>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</si>
  <si>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</si>
  <si>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</si>
  <si>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</si>
  <si>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</si>
  <si>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</si>
  <si>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</si>
  <si>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</si>
  <si>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</si>
  <si>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</si>
  <si>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</si>
  <si>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</si>
  <si>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</si>
  <si>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</si>
  <si>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</si>
  <si>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</si>
  <si>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</si>
  <si>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</si>
  <si>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</si>
  <si>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</si>
  <si>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</si>
  <si>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</si>
  <si>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</si>
  <si>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</si>
  <si>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</si>
  <si>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</si>
  <si>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</si>
  <si>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</si>
  <si>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</si>
  <si>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</si>
  <si>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</si>
  <si>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</si>
  <si>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</si>
  <si>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</si>
  <si>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</si>
  <si>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</si>
  <si>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</si>
  <si>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</si>
  <si>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</si>
  <si>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</si>
  <si>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</si>
  <si>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</si>
  <si>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</si>
  <si>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</si>
  <si>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</si>
  <si>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</si>
  <si>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</si>
  <si>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</si>
  <si>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</si>
  <si>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</si>
  <si>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</si>
  <si>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</si>
  <si>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</si>
  <si>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</si>
  <si>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</si>
  <si>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</si>
  <si>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</si>
  <si>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</si>
  <si>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</si>
  <si>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</si>
  <si>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</si>
  <si>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</si>
  <si>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</si>
  <si>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</si>
  <si>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</si>
  <si>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</si>
  <si>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</si>
  <si>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</si>
  <si>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</si>
  <si>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</si>
  <si>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</si>
  <si>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</si>
  <si>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</si>
  <si>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</si>
  <si>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</si>
  <si>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</si>
  <si>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</si>
  <si>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</si>
  <si>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</si>
  <si>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</si>
  <si>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</si>
  <si>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</si>
  <si>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</si>
  <si>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</si>
  <si>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</si>
  <si>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</si>
  <si>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</si>
  <si>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</si>
  <si>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</si>
  <si>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</si>
  <si>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</si>
  <si>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</si>
  <si>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</si>
  <si>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</si>
  <si>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</si>
  <si>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</si>
  <si>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</si>
  <si>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</si>
  <si>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</si>
  <si>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</si>
  <si>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</si>
  <si>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</si>
  <si>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</si>
  <si>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</si>
  <si>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</si>
  <si>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</si>
  <si>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</si>
  <si>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</si>
  <si>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</si>
  <si>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</si>
  <si>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</si>
  <si>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</si>
  <si>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</si>
  <si>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</si>
  <si>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</si>
  <si>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</si>
  <si>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</si>
  <si>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</si>
  <si>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</si>
  <si>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</si>
  <si>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</si>
  <si>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</si>
  <si>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</si>
  <si>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</si>
  <si>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</si>
  <si>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180/50</t>
  </si>
  <si>
    <t>20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</si>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</sst>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center" wrapText="1"/>
    </xf>
    <xf numFmtId="164" fontId="5" fillId="5" borderId="20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" borderId="2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2" fontId="6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164" fontId="5" fillId="0" borderId="25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6" fontId="5" fillId="5" borderId="10" xfId="0" applyNumberFormat="1" applyFont="1" applyFill="1" applyBorder="1" applyAlignment="1">
      <alignment horizontal="center" wrapText="1"/>
    </xf>
    <xf numFmtId="168" fontId="5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0" fillId="0" borderId="0" xfId="0" applyNumberFormat="1"/>
    <xf numFmtId="2" fontId="6" fillId="0" borderId="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5" fillId="3" borderId="16" xfId="0" applyNumberFormat="1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5" borderId="10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3" borderId="23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vertical="center" wrapText="1"/>
    </xf>
    <xf numFmtId="1" fontId="5" fillId="3" borderId="22" xfId="0" applyNumberFormat="1" applyFont="1" applyFill="1" applyBorder="1" applyAlignment="1">
      <alignment vertical="center" wrapText="1"/>
    </xf>
    <xf numFmtId="1" fontId="5" fillId="5" borderId="20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1" fontId="6" fillId="0" borderId="19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8" fontId="5" fillId="5" borderId="10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5" fillId="0" borderId="3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7" t="s">
        <v>189</v>
      </c>
      <c r="B1" s="189">
        <v>4</v>
      </c>
      <c r="C1" s="18"/>
      <c r="D1" s="18"/>
      <c r="E1" s="18"/>
      <c r="F1" s="91"/>
      <c r="G1" s="91"/>
      <c r="H1" s="18"/>
      <c r="I1" s="91"/>
      <c r="J1" s="165"/>
      <c r="K1" s="164"/>
      <c r="L1" s="164"/>
      <c r="M1" s="164"/>
    </row>
    <row r="2" spans="1:13" ht="15.75" x14ac:dyDescent="0.2">
      <c r="A2" s="37" t="s">
        <v>21</v>
      </c>
      <c r="B2" s="38"/>
      <c r="C2" s="38"/>
      <c r="D2" s="38"/>
      <c r="E2" s="38"/>
      <c r="F2" s="146"/>
      <c r="G2" s="146"/>
      <c r="H2" s="38"/>
      <c r="I2" s="93"/>
      <c r="J2" s="165"/>
      <c r="K2" s="164"/>
      <c r="L2" s="164"/>
      <c r="M2" s="164"/>
    </row>
    <row r="3" spans="1:13" ht="15.75" x14ac:dyDescent="0.25">
      <c r="A3" s="4" t="s">
        <v>128</v>
      </c>
      <c r="B3" s="25">
        <v>200</v>
      </c>
      <c r="C3" s="26">
        <v>6.1</v>
      </c>
      <c r="D3" s="26">
        <v>8.3000000000000007</v>
      </c>
      <c r="E3" s="26">
        <v>28.3</v>
      </c>
      <c r="F3" s="89">
        <f t="shared" ref="F3" si="0">(C3+E3)*4+D3*9</f>
        <v>212.3</v>
      </c>
      <c r="G3" s="89">
        <f t="shared" ref="G3" si="1">(C3+E3)*17+D3*37</f>
        <v>891.9</v>
      </c>
      <c r="H3" s="46">
        <v>0.9</v>
      </c>
      <c r="I3" s="89" t="s">
        <v>181</v>
      </c>
      <c r="J3" s="165"/>
      <c r="K3" s="164"/>
      <c r="L3" s="164"/>
      <c r="M3" s="164"/>
    </row>
    <row r="4" spans="1:13" ht="15.75" x14ac:dyDescent="0.25">
      <c r="A4" s="4" t="s">
        <v>104</v>
      </c>
      <c r="B4" s="8" t="s">
        <v>53</v>
      </c>
      <c r="C4" s="6">
        <v>2.4</v>
      </c>
      <c r="D4" s="6">
        <v>7.5</v>
      </c>
      <c r="E4" s="6">
        <v>14.9</v>
      </c>
      <c r="F4" s="89">
        <f t="shared" ref="F4" si="2">(C4+E4)*4+D4*9</f>
        <v>136.69999999999999</v>
      </c>
      <c r="G4" s="97">
        <f t="shared" ref="G4" si="3">(C4+E4)*17+D4*37</f>
        <v>571.6</v>
      </c>
      <c r="H4" s="45">
        <v>0</v>
      </c>
      <c r="I4" s="96" t="s">
        <v>179</v>
      </c>
      <c r="J4" s="165"/>
      <c r="K4" s="164"/>
      <c r="L4" s="164"/>
      <c r="M4" s="164"/>
    </row>
    <row r="5" spans="1:13" ht="15.75" x14ac:dyDescent="0.25">
      <c r="A5" s="4" t="s">
        <v>67</v>
      </c>
      <c r="B5" s="87" t="s">
        <v>158</v>
      </c>
      <c r="C5" s="6">
        <v>4.7</v>
      </c>
      <c r="D5" s="6">
        <v>6</v>
      </c>
      <c r="E5" s="6">
        <v>0.3</v>
      </c>
      <c r="F5" s="89">
        <f t="shared" ref="F5" si="4">(C5+E5)*4+D5*9</f>
        <v>74</v>
      </c>
      <c r="G5" s="97">
        <f t="shared" ref="G5" si="5">(C5+E5)*17+D5*37</f>
        <v>307</v>
      </c>
      <c r="H5" s="45">
        <v>0.15</v>
      </c>
      <c r="I5" s="96"/>
      <c r="J5" s="165"/>
      <c r="K5" s="164"/>
      <c r="L5" s="164"/>
      <c r="M5" s="164"/>
    </row>
    <row r="6" spans="1:13" s="3" customFormat="1" ht="15.75" x14ac:dyDescent="0.25">
      <c r="A6" s="4" t="s">
        <v>45</v>
      </c>
      <c r="B6" s="29">
        <v>180</v>
      </c>
      <c r="C6" s="26">
        <v>2.6</v>
      </c>
      <c r="D6" s="26">
        <v>2.2999999999999998</v>
      </c>
      <c r="E6" s="26">
        <v>16</v>
      </c>
      <c r="F6" s="97">
        <f t="shared" ref="F6" si="6">(C6+E6)*4+D6*9</f>
        <v>95.100000000000009</v>
      </c>
      <c r="G6" s="97">
        <f t="shared" ref="G6" si="7">(C6+E6)*17+D6*37</f>
        <v>401.30000000000007</v>
      </c>
      <c r="H6" s="46">
        <v>0.5</v>
      </c>
      <c r="I6" s="89" t="s">
        <v>180</v>
      </c>
      <c r="J6" s="165"/>
      <c r="K6" s="164"/>
      <c r="L6" s="164"/>
      <c r="M6" s="164"/>
    </row>
    <row r="7" spans="1:13" s="2" customFormat="1" ht="14.25" customHeight="1" thickBot="1" x14ac:dyDescent="0.25">
      <c r="A7" s="9" t="s">
        <v>1</v>
      </c>
      <c r="B7" s="11">
        <v>440</v>
      </c>
      <c r="C7" s="11">
        <f>SUM(C3:C6)</f>
        <v>15.799999999999999</v>
      </c>
      <c r="D7" s="11">
        <f t="shared" ref="D7:H7" si="8">SUM(D3:D6)</f>
        <v>24.1</v>
      </c>
      <c r="E7" s="11">
        <f t="shared" si="8"/>
        <v>59.5</v>
      </c>
      <c r="F7" s="73">
        <f t="shared" si="8"/>
        <v>518.1</v>
      </c>
      <c r="G7" s="73">
        <f t="shared" si="8"/>
        <v>2171.8000000000002</v>
      </c>
      <c r="H7" s="11">
        <f t="shared" si="8"/>
        <v>1.55</v>
      </c>
      <c r="I7" s="73"/>
      <c r="J7" s="165"/>
      <c r="K7" s="164"/>
      <c r="L7" s="164"/>
      <c r="M7" s="164"/>
    </row>
    <row r="8" spans="1:13" ht="15.75" x14ac:dyDescent="0.2">
      <c r="A8" s="71" t="s">
        <v>35</v>
      </c>
      <c r="B8" s="38"/>
      <c r="C8" s="38"/>
      <c r="D8" s="38"/>
      <c r="E8" s="38"/>
      <c r="F8" s="146"/>
      <c r="G8" s="146"/>
      <c r="H8" s="38"/>
      <c r="I8" s="93"/>
      <c r="J8" s="165"/>
      <c r="K8" s="164"/>
      <c r="L8" s="164"/>
      <c r="M8" s="164"/>
    </row>
    <row r="9" spans="1:13" ht="15.75" x14ac:dyDescent="0.25">
      <c r="A9" s="4" t="s">
        <v>188</v>
      </c>
      <c r="B9" s="25">
        <v>110</v>
      </c>
      <c r="C9" s="26">
        <v>0.4</v>
      </c>
      <c r="D9" s="26">
        <v>0.4</v>
      </c>
      <c r="E9" s="26">
        <v>8.5</v>
      </c>
      <c r="F9" s="89">
        <f t="shared" ref="F9" si="9">(C9+E9)*4+D9*9</f>
        <v>39.200000000000003</v>
      </c>
      <c r="G9" s="97">
        <f t="shared" ref="G9" si="10">(C9+E9)*17+D9*37</f>
        <v>166.10000000000002</v>
      </c>
      <c r="H9" s="31">
        <v>10</v>
      </c>
      <c r="I9" s="94" t="s">
        <v>178</v>
      </c>
      <c r="J9" s="165"/>
      <c r="K9" s="164"/>
      <c r="L9" s="164"/>
      <c r="M9" s="164"/>
    </row>
    <row r="10" spans="1:13" ht="16.5" thickBot="1" x14ac:dyDescent="0.25">
      <c r="A10" s="19" t="s">
        <v>1</v>
      </c>
      <c r="B10" s="16">
        <f>B9</f>
        <v>110</v>
      </c>
      <c r="C10" s="20">
        <f>C9</f>
        <v>0.4</v>
      </c>
      <c r="D10" s="20">
        <f t="shared" ref="D10:H10" si="11">D9</f>
        <v>0.4</v>
      </c>
      <c r="E10" s="20">
        <f t="shared" si="11"/>
        <v>8.5</v>
      </c>
      <c r="F10" s="95">
        <f t="shared" si="11"/>
        <v>39.200000000000003</v>
      </c>
      <c r="G10" s="95">
        <f t="shared" si="11"/>
        <v>166.10000000000002</v>
      </c>
      <c r="H10" s="20">
        <f t="shared" si="11"/>
        <v>10</v>
      </c>
      <c r="I10" s="95"/>
      <c r="J10" s="165"/>
      <c r="K10" s="164"/>
      <c r="L10" s="164"/>
      <c r="M10" s="164"/>
    </row>
    <row r="11" spans="1:13" ht="15.75" x14ac:dyDescent="0.2">
      <c r="A11" s="71" t="s">
        <v>3</v>
      </c>
      <c r="B11" s="38"/>
      <c r="C11" s="38"/>
      <c r="D11" s="38"/>
      <c r="E11" s="38"/>
      <c r="F11" s="146"/>
      <c r="G11" s="146"/>
      <c r="H11" s="38"/>
      <c r="I11" s="93"/>
      <c r="J11" s="165"/>
      <c r="K11" s="164"/>
      <c r="L11" s="164"/>
      <c r="M11" s="164"/>
    </row>
    <row r="12" spans="1:13" ht="15.75" customHeight="1" x14ac:dyDescent="0.2">
      <c r="A12" s="188" t="s">
        <v>90</v>
      </c>
      <c r="B12" s="5">
        <v>200</v>
      </c>
      <c r="C12" s="6">
        <v>1.6</v>
      </c>
      <c r="D12" s="6">
        <v>3.4</v>
      </c>
      <c r="E12" s="6">
        <v>8</v>
      </c>
      <c r="F12" s="97">
        <v>69</v>
      </c>
      <c r="G12" s="97">
        <v>290</v>
      </c>
      <c r="H12" s="45">
        <v>13.44</v>
      </c>
      <c r="I12" s="94" t="s">
        <v>187</v>
      </c>
      <c r="J12" s="165"/>
      <c r="K12" s="164"/>
      <c r="L12" s="164"/>
      <c r="M12" s="164"/>
    </row>
    <row r="13" spans="1:13" ht="15.75" x14ac:dyDescent="0.2">
      <c r="A13" s="4" t="s">
        <v>116</v>
      </c>
      <c r="B13" s="97">
        <v>120</v>
      </c>
      <c r="C13" s="6">
        <v>15.8</v>
      </c>
      <c r="D13" s="6">
        <v>4.5</v>
      </c>
      <c r="E13" s="6">
        <v>4.0999999999999996</v>
      </c>
      <c r="F13" s="97">
        <f>(C13+E13)*4+D13*9</f>
        <v>120.1</v>
      </c>
      <c r="G13" s="97">
        <f>(C13+E13)*17+D13*37</f>
        <v>504.79999999999995</v>
      </c>
      <c r="H13" s="13">
        <v>4.3</v>
      </c>
      <c r="I13" s="94" t="s">
        <v>182</v>
      </c>
      <c r="J13" s="165"/>
      <c r="K13" s="164"/>
      <c r="L13" s="164"/>
      <c r="M13" s="164"/>
    </row>
    <row r="14" spans="1:13" ht="15.75" x14ac:dyDescent="0.25">
      <c r="A14" s="4" t="s">
        <v>84</v>
      </c>
      <c r="B14" s="42">
        <v>50</v>
      </c>
      <c r="C14" s="43">
        <v>1.2</v>
      </c>
      <c r="D14" s="43">
        <v>2.7</v>
      </c>
      <c r="E14" s="43">
        <v>4.8</v>
      </c>
      <c r="F14" s="89">
        <f t="shared" ref="F14" si="12">(C14+E14)*4+D14*9</f>
        <v>48.3</v>
      </c>
      <c r="G14" s="89">
        <f t="shared" ref="G14" si="13">(C14+E14)*17+D14*37</f>
        <v>201.9</v>
      </c>
      <c r="H14" s="13">
        <v>6</v>
      </c>
      <c r="I14" s="97" t="s">
        <v>183</v>
      </c>
      <c r="J14" s="165"/>
      <c r="K14" s="164"/>
      <c r="L14" s="164"/>
      <c r="M14" s="164"/>
    </row>
    <row r="15" spans="1:13" ht="15.75" x14ac:dyDescent="0.25">
      <c r="A15" s="4" t="s">
        <v>156</v>
      </c>
      <c r="B15" s="42">
        <v>200</v>
      </c>
      <c r="C15" s="6">
        <v>0.3</v>
      </c>
      <c r="D15" s="6">
        <v>2.7</v>
      </c>
      <c r="E15" s="6">
        <v>4.8</v>
      </c>
      <c r="F15" s="97">
        <f t="shared" ref="F15" si="14">(C15+E15)*4+D15*9</f>
        <v>44.7</v>
      </c>
      <c r="G15" s="97">
        <f t="shared" ref="G15" si="15">(C15+E15)*17+D15*37</f>
        <v>186.6</v>
      </c>
      <c r="H15" s="45">
        <v>1.1000000000000001</v>
      </c>
      <c r="I15" s="89" t="s">
        <v>184</v>
      </c>
      <c r="J15" s="165"/>
      <c r="K15" s="164"/>
      <c r="L15" s="164"/>
      <c r="M15" s="164"/>
    </row>
    <row r="16" spans="1:13" ht="15.75" x14ac:dyDescent="0.2">
      <c r="A16" s="4" t="s">
        <v>4</v>
      </c>
      <c r="B16" s="5">
        <v>35</v>
      </c>
      <c r="C16" s="13">
        <v>2.2999999999999998</v>
      </c>
      <c r="D16" s="13">
        <v>0.4</v>
      </c>
      <c r="E16" s="13">
        <v>8.3000000000000007</v>
      </c>
      <c r="F16" s="97">
        <f t="shared" ref="F16:F17" si="16">(C16+E16)*4+D16*9</f>
        <v>46.000000000000007</v>
      </c>
      <c r="G16" s="97">
        <f t="shared" ref="G16:G17" si="17">(C16+E16)*17+D16*37</f>
        <v>195.00000000000003</v>
      </c>
      <c r="H16" s="13">
        <v>0</v>
      </c>
      <c r="I16" s="97"/>
      <c r="J16" s="165"/>
      <c r="K16" s="164"/>
      <c r="L16" s="164"/>
      <c r="M16" s="164"/>
    </row>
    <row r="17" spans="1:13" ht="15.75" x14ac:dyDescent="0.2">
      <c r="A17" s="4" t="s">
        <v>0</v>
      </c>
      <c r="B17" s="5">
        <v>35</v>
      </c>
      <c r="C17" s="13">
        <v>2.7</v>
      </c>
      <c r="D17" s="13">
        <v>0.3</v>
      </c>
      <c r="E17" s="13">
        <v>17.2</v>
      </c>
      <c r="F17" s="97">
        <f t="shared" si="16"/>
        <v>82.3</v>
      </c>
      <c r="G17" s="97">
        <f t="shared" si="17"/>
        <v>349.4</v>
      </c>
      <c r="H17" s="45">
        <v>0</v>
      </c>
      <c r="I17" s="94"/>
      <c r="J17" s="165"/>
      <c r="K17" s="164"/>
      <c r="L17" s="164"/>
      <c r="M17" s="164"/>
    </row>
    <row r="18" spans="1:13" ht="16.5" thickBot="1" x14ac:dyDescent="0.25">
      <c r="A18" s="21" t="s">
        <v>1</v>
      </c>
      <c r="B18" s="98">
        <f>SUM(B12:B17)</f>
        <v>640</v>
      </c>
      <c r="C18" s="22">
        <f>SUM(C12:C17)</f>
        <v>23.900000000000002</v>
      </c>
      <c r="D18" s="22">
        <f t="shared" ref="D18:H18" si="18">SUM(D12:D17)</f>
        <v>14.000000000000002</v>
      </c>
      <c r="E18" s="22">
        <f t="shared" si="18"/>
        <v>47.2</v>
      </c>
      <c r="F18" s="98">
        <f t="shared" si="18"/>
        <v>410.4</v>
      </c>
      <c r="G18" s="98">
        <f t="shared" si="18"/>
        <v>1727.6999999999998</v>
      </c>
      <c r="H18" s="22">
        <f t="shared" si="18"/>
        <v>24.84</v>
      </c>
      <c r="I18" s="98"/>
      <c r="J18" s="165"/>
      <c r="K18" s="164"/>
      <c r="L18" s="164"/>
      <c r="M18" s="164"/>
    </row>
    <row r="19" spans="1:13" ht="15.75" x14ac:dyDescent="0.2">
      <c r="A19" s="71" t="s">
        <v>5</v>
      </c>
      <c r="B19" s="38"/>
      <c r="C19" s="38"/>
      <c r="D19" s="38"/>
      <c r="E19" s="38"/>
      <c r="F19" s="146"/>
      <c r="G19" s="146"/>
      <c r="H19" s="38"/>
      <c r="I19" s="93"/>
      <c r="J19" s="165"/>
      <c r="K19" s="164"/>
      <c r="L19" s="164"/>
      <c r="M19" s="164"/>
    </row>
    <row r="20" spans="1:13" ht="15.75" x14ac:dyDescent="0.25">
      <c r="A20" s="4"/>
      <c r="B20" s="5"/>
      <c r="C20" s="12"/>
      <c r="D20" s="12"/>
      <c r="E20" s="12"/>
      <c r="F20" s="89"/>
      <c r="G20" s="89"/>
      <c r="H20" s="45"/>
      <c r="I20" s="94"/>
      <c r="J20" s="165"/>
      <c r="K20" s="164"/>
      <c r="L20" s="164"/>
      <c r="M20" s="164"/>
    </row>
    <row r="21" spans="1:13" ht="31.5" x14ac:dyDescent="0.25">
      <c r="A21" s="4" t="s">
        <v>72</v>
      </c>
      <c r="B21" s="25" t="s">
        <v>157</v>
      </c>
      <c r="C21" s="26">
        <v>7.5</v>
      </c>
      <c r="D21" s="26">
        <v>5.5</v>
      </c>
      <c r="E21" s="26">
        <v>61.8</v>
      </c>
      <c r="F21" s="89">
        <f t="shared" ref="F21:F24" si="19">(C21+E21)*4+D21*9</f>
        <v>326.7</v>
      </c>
      <c r="G21" s="89">
        <f t="shared" ref="G21:G24" si="20">(C21+E21)*17+D21*37</f>
        <v>1381.6</v>
      </c>
      <c r="H21" s="46">
        <v>1.1000000000000001</v>
      </c>
      <c r="I21" s="96" t="s">
        <v>185</v>
      </c>
      <c r="J21" s="165"/>
      <c r="K21" s="164"/>
      <c r="L21" s="164"/>
      <c r="M21" s="164"/>
    </row>
    <row r="22" spans="1:13" ht="15.75" x14ac:dyDescent="0.25">
      <c r="A22" s="56" t="s">
        <v>141</v>
      </c>
      <c r="B22" s="5">
        <v>20</v>
      </c>
      <c r="C22" s="72">
        <f>0.2*5.21</f>
        <v>1.042</v>
      </c>
      <c r="D22" s="72">
        <f>0.2*37.85</f>
        <v>7.57</v>
      </c>
      <c r="E22" s="72">
        <f>0.2*54.38</f>
        <v>10.876000000000001</v>
      </c>
      <c r="F22" s="89">
        <f t="shared" si="19"/>
        <v>115.80199999999999</v>
      </c>
      <c r="G22" s="89">
        <f t="shared" si="20"/>
        <v>482.69600000000003</v>
      </c>
      <c r="H22" s="48">
        <v>0</v>
      </c>
      <c r="I22" s="94"/>
      <c r="J22" s="165"/>
      <c r="K22" s="164"/>
      <c r="L22" s="164"/>
      <c r="M22" s="164"/>
    </row>
    <row r="23" spans="1:13" ht="15.75" x14ac:dyDescent="0.25">
      <c r="A23" s="4" t="s">
        <v>66</v>
      </c>
      <c r="B23" s="42">
        <v>180</v>
      </c>
      <c r="C23" s="26">
        <v>0</v>
      </c>
      <c r="D23" s="26">
        <v>0</v>
      </c>
      <c r="E23" s="26">
        <v>11.7</v>
      </c>
      <c r="F23" s="89">
        <f t="shared" si="19"/>
        <v>46.8</v>
      </c>
      <c r="G23" s="89">
        <f t="shared" si="20"/>
        <v>198.89999999999998</v>
      </c>
      <c r="H23" s="46">
        <v>0</v>
      </c>
      <c r="I23" s="94" t="s">
        <v>186</v>
      </c>
      <c r="J23" s="165"/>
      <c r="K23" s="164"/>
      <c r="L23" s="164"/>
      <c r="M23" s="164"/>
    </row>
    <row r="24" spans="1:13" ht="15.75" x14ac:dyDescent="0.25">
      <c r="A24" s="4" t="s">
        <v>0</v>
      </c>
      <c r="B24" s="5">
        <v>35</v>
      </c>
      <c r="C24" s="12">
        <v>3</v>
      </c>
      <c r="D24" s="12">
        <v>0.5</v>
      </c>
      <c r="E24" s="12">
        <v>15.8</v>
      </c>
      <c r="F24" s="89">
        <f t="shared" si="19"/>
        <v>79.7</v>
      </c>
      <c r="G24" s="89">
        <f t="shared" si="20"/>
        <v>338.1</v>
      </c>
      <c r="H24" s="45">
        <v>0</v>
      </c>
      <c r="I24" s="97"/>
      <c r="J24" s="165"/>
      <c r="K24" s="164"/>
      <c r="L24" s="164"/>
      <c r="M24" s="164"/>
    </row>
    <row r="25" spans="1:13" ht="16.5" thickBot="1" x14ac:dyDescent="0.25">
      <c r="A25" s="9" t="s">
        <v>1</v>
      </c>
      <c r="B25" s="10">
        <f>B20+180+50+B22+B23+B24</f>
        <v>465</v>
      </c>
      <c r="C25" s="11">
        <f t="shared" ref="C25:H25" si="21">SUM(C20:C24)</f>
        <v>11.542</v>
      </c>
      <c r="D25" s="11">
        <f t="shared" si="21"/>
        <v>13.57</v>
      </c>
      <c r="E25" s="11">
        <f t="shared" si="21"/>
        <v>100.176</v>
      </c>
      <c r="F25" s="73">
        <f t="shared" si="21"/>
        <v>569.00199999999995</v>
      </c>
      <c r="G25" s="73">
        <f t="shared" si="21"/>
        <v>2401.2959999999998</v>
      </c>
      <c r="H25" s="11">
        <f t="shared" si="21"/>
        <v>1.1000000000000001</v>
      </c>
      <c r="I25" s="73"/>
      <c r="J25" s="165"/>
      <c r="K25" s="164"/>
      <c r="L25" s="164"/>
      <c r="M25" s="164"/>
    </row>
    <row r="26" spans="1:13" ht="16.5" thickBot="1" x14ac:dyDescent="0.25">
      <c r="A26" s="53" t="s">
        <v>10</v>
      </c>
      <c r="B26" s="54">
        <f>B25+B18+B10+B7</f>
        <v>1655</v>
      </c>
      <c r="C26" s="54">
        <f t="shared" ref="C26:H26" si="22">C7+C18+C25+C10</f>
        <v>51.642000000000003</v>
      </c>
      <c r="D26" s="54">
        <f t="shared" si="22"/>
        <v>52.07</v>
      </c>
      <c r="E26" s="54">
        <f t="shared" si="22"/>
        <v>215.376</v>
      </c>
      <c r="F26" s="60">
        <f t="shared" si="22"/>
        <v>1536.702</v>
      </c>
      <c r="G26" s="60">
        <f t="shared" si="22"/>
        <v>6466.8960000000006</v>
      </c>
      <c r="H26" s="54">
        <f t="shared" si="22"/>
        <v>37.49</v>
      </c>
      <c r="I26" s="101"/>
      <c r="J26" s="165"/>
      <c r="K26" s="164"/>
      <c r="L26" s="164"/>
      <c r="M26" s="164"/>
    </row>
    <row r="27" spans="1:13" ht="15.75" x14ac:dyDescent="0.2">
      <c r="A27" s="190"/>
      <c r="B27" s="191"/>
      <c r="C27" s="191"/>
      <c r="D27" s="191"/>
      <c r="E27" s="191"/>
      <c r="F27" s="191"/>
      <c r="G27" s="191"/>
      <c r="H27" s="191"/>
      <c r="I27" s="192"/>
      <c r="J27" s="165"/>
      <c r="K27" s="164"/>
      <c r="L27" s="164"/>
      <c r="M27" s="16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6" customWidth="1"/>
    <col min="10" max="10" width="24.42578125" style="140" customWidth="1"/>
  </cols>
  <sheetData>
    <row r="1" spans="1:10" ht="15.75" x14ac:dyDescent="0.2">
      <c r="A1" s="193" t="s">
        <v>74</v>
      </c>
      <c r="B1" s="194"/>
      <c r="C1" s="194"/>
      <c r="D1" s="194"/>
      <c r="E1" s="194"/>
      <c r="F1" s="194"/>
      <c r="G1" s="194"/>
      <c r="H1" s="194"/>
      <c r="I1" s="90"/>
    </row>
    <row r="2" spans="1:10" ht="15.75" x14ac:dyDescent="0.2">
      <c r="A2" s="194"/>
      <c r="B2" s="194"/>
      <c r="C2" s="194"/>
      <c r="D2" s="194"/>
      <c r="E2" s="194"/>
      <c r="F2" s="194"/>
      <c r="G2" s="194"/>
      <c r="H2" s="194"/>
      <c r="I2" s="90"/>
    </row>
    <row r="3" spans="1:10" ht="4.5" customHeight="1" x14ac:dyDescent="0.2">
      <c r="A3" s="194"/>
      <c r="B3" s="194"/>
      <c r="C3" s="194"/>
      <c r="D3" s="194"/>
      <c r="E3" s="194"/>
      <c r="F3" s="194"/>
      <c r="G3" s="194"/>
      <c r="H3" s="194"/>
      <c r="I3" s="90"/>
    </row>
    <row r="4" spans="1:10" ht="141" customHeight="1" x14ac:dyDescent="0.2">
      <c r="A4" s="195" t="s">
        <v>92</v>
      </c>
      <c r="B4" s="200"/>
      <c r="C4" s="200"/>
      <c r="D4" s="200"/>
      <c r="E4" s="200"/>
      <c r="F4" s="200"/>
      <c r="G4" s="200"/>
      <c r="H4" s="200"/>
      <c r="I4" s="201"/>
    </row>
    <row r="5" spans="1:10" ht="15.75" x14ac:dyDescent="0.2">
      <c r="A5" s="18" t="s">
        <v>24</v>
      </c>
      <c r="B5" s="18"/>
      <c r="C5" s="18"/>
      <c r="D5" s="18"/>
      <c r="E5" s="18"/>
      <c r="F5" s="18"/>
      <c r="G5" s="18"/>
      <c r="H5" s="18"/>
      <c r="I5" s="91"/>
    </row>
    <row r="6" spans="1:10" ht="15.75" x14ac:dyDescent="0.2">
      <c r="A6" s="39" t="s">
        <v>32</v>
      </c>
      <c r="B6" s="195">
        <v>1</v>
      </c>
      <c r="C6" s="195"/>
      <c r="D6" s="195"/>
      <c r="E6" s="125"/>
      <c r="F6" s="125"/>
      <c r="G6" s="125"/>
      <c r="H6" s="125"/>
      <c r="I6" s="128"/>
    </row>
    <row r="7" spans="1:10" ht="15.75" x14ac:dyDescent="0.2">
      <c r="A7" s="141" t="s">
        <v>98</v>
      </c>
      <c r="B7" s="40"/>
      <c r="C7" s="125"/>
      <c r="D7" s="125"/>
      <c r="E7" s="125"/>
      <c r="F7" s="125"/>
      <c r="G7" s="125"/>
      <c r="H7" s="125"/>
      <c r="I7" s="128"/>
    </row>
    <row r="8" spans="1:10" ht="26.25" customHeight="1" x14ac:dyDescent="0.2">
      <c r="A8" s="196" t="s">
        <v>11</v>
      </c>
      <c r="B8" s="196" t="s">
        <v>30</v>
      </c>
      <c r="C8" s="196" t="s">
        <v>12</v>
      </c>
      <c r="D8" s="196"/>
      <c r="E8" s="196"/>
      <c r="F8" s="196" t="s">
        <v>27</v>
      </c>
      <c r="G8" s="198"/>
      <c r="H8" s="196" t="s">
        <v>31</v>
      </c>
      <c r="I8" s="202" t="s">
        <v>91</v>
      </c>
    </row>
    <row r="9" spans="1:10" ht="15.75" customHeight="1" thickBot="1" x14ac:dyDescent="0.25">
      <c r="A9" s="197"/>
      <c r="B9" s="197"/>
      <c r="C9" s="163" t="s">
        <v>13</v>
      </c>
      <c r="D9" s="163" t="s">
        <v>9</v>
      </c>
      <c r="E9" s="163" t="s">
        <v>7</v>
      </c>
      <c r="F9" s="163" t="s">
        <v>28</v>
      </c>
      <c r="G9" s="163" t="s">
        <v>29</v>
      </c>
      <c r="H9" s="199"/>
      <c r="I9" s="203"/>
      <c r="J9" s="142"/>
    </row>
    <row r="10" spans="1:10" ht="16.5" customHeight="1" thickTop="1" x14ac:dyDescent="0.2">
      <c r="A10" s="206" t="s">
        <v>20</v>
      </c>
      <c r="B10" s="207"/>
      <c r="C10" s="207"/>
      <c r="D10" s="207"/>
      <c r="E10" s="207"/>
      <c r="F10" s="207"/>
      <c r="G10" s="207"/>
      <c r="H10" s="207"/>
      <c r="I10" s="208"/>
    </row>
    <row r="11" spans="1:10" ht="33.75" customHeight="1" x14ac:dyDescent="0.25">
      <c r="A11" s="4" t="s">
        <v>100</v>
      </c>
      <c r="B11" s="88">
        <v>150</v>
      </c>
      <c r="C11" s="88">
        <v>4.4000000000000004</v>
      </c>
      <c r="D11" s="88">
        <v>6.2</v>
      </c>
      <c r="E11" s="88">
        <v>21.2</v>
      </c>
      <c r="F11" s="89">
        <f t="shared" ref="F11" si="0">(C11+E11)*4+D11*9</f>
        <v>158.20000000000002</v>
      </c>
      <c r="G11" s="89">
        <f t="shared" ref="G11" si="1">(C11+E11)*17+D11*37</f>
        <v>664.6</v>
      </c>
      <c r="H11" s="31">
        <v>0.68</v>
      </c>
      <c r="I11" s="97">
        <v>168</v>
      </c>
      <c r="J11" s="142"/>
    </row>
    <row r="12" spans="1:10" ht="15.75" x14ac:dyDescent="0.25">
      <c r="A12" s="4" t="s">
        <v>149</v>
      </c>
      <c r="B12" s="8" t="s">
        <v>44</v>
      </c>
      <c r="C12" s="6">
        <v>2.2999999999999998</v>
      </c>
      <c r="D12" s="6">
        <v>3.8</v>
      </c>
      <c r="E12" s="6">
        <v>14.8</v>
      </c>
      <c r="F12" s="89">
        <f t="shared" ref="F12:F13" si="2">(C12+E12)*4+D12*9</f>
        <v>102.6</v>
      </c>
      <c r="G12" s="89">
        <f t="shared" ref="G12:G13" si="3">(C12+E12)*17+D12*37</f>
        <v>431.30000000000007</v>
      </c>
      <c r="H12" s="13">
        <v>0</v>
      </c>
      <c r="I12" s="89">
        <v>3</v>
      </c>
      <c r="J12" s="142"/>
    </row>
    <row r="13" spans="1:10" ht="15.75" x14ac:dyDescent="0.25">
      <c r="A13" s="4" t="s">
        <v>64</v>
      </c>
      <c r="B13" s="5">
        <f>150/200*200</f>
        <v>150</v>
      </c>
      <c r="C13" s="6">
        <v>0.1</v>
      </c>
      <c r="D13" s="6">
        <v>0</v>
      </c>
      <c r="E13" s="6">
        <v>10</v>
      </c>
      <c r="F13" s="89">
        <f t="shared" si="2"/>
        <v>40.4</v>
      </c>
      <c r="G13" s="89">
        <f t="shared" si="3"/>
        <v>171.7</v>
      </c>
      <c r="H13" s="13">
        <v>2.4</v>
      </c>
      <c r="I13" s="97" t="s">
        <v>81</v>
      </c>
      <c r="J13" s="142"/>
    </row>
    <row r="14" spans="1:10" ht="16.5" thickBot="1" x14ac:dyDescent="0.25">
      <c r="A14" s="9" t="s">
        <v>1</v>
      </c>
      <c r="B14" s="175">
        <f>B11+45+B13</f>
        <v>345</v>
      </c>
      <c r="C14" s="11">
        <f>SUM(C11:C13)</f>
        <v>6.8</v>
      </c>
      <c r="D14" s="11">
        <f t="shared" ref="D14:H14" si="4">SUM(D11:D13)</f>
        <v>10</v>
      </c>
      <c r="E14" s="11">
        <f t="shared" si="4"/>
        <v>46</v>
      </c>
      <c r="F14" s="73">
        <f t="shared" si="4"/>
        <v>301.2</v>
      </c>
      <c r="G14" s="73">
        <f t="shared" si="4"/>
        <v>1267.6000000000001</v>
      </c>
      <c r="H14" s="11">
        <f t="shared" si="4"/>
        <v>3.08</v>
      </c>
      <c r="I14" s="73"/>
      <c r="J14" s="142"/>
    </row>
    <row r="15" spans="1:10" ht="15.75" x14ac:dyDescent="0.2">
      <c r="A15" s="71" t="s">
        <v>35</v>
      </c>
      <c r="B15" s="38"/>
      <c r="C15" s="38"/>
      <c r="D15" s="38"/>
      <c r="E15" s="38"/>
      <c r="F15" s="146"/>
      <c r="G15" s="146"/>
      <c r="H15" s="38"/>
      <c r="I15" s="93"/>
      <c r="J15" s="142"/>
    </row>
    <row r="16" spans="1:10" ht="15.75" x14ac:dyDescent="0.25">
      <c r="A16" s="14" t="s">
        <v>37</v>
      </c>
      <c r="B16" s="5">
        <v>100</v>
      </c>
      <c r="C16" s="12">
        <v>0.4</v>
      </c>
      <c r="D16" s="12">
        <v>0.4</v>
      </c>
      <c r="E16" s="12">
        <v>8.5</v>
      </c>
      <c r="F16" s="97">
        <f t="shared" ref="F16" si="5">(C16+E16)*4+D16*9</f>
        <v>39.200000000000003</v>
      </c>
      <c r="G16" s="97">
        <f>(C16+E16)*17+D16*37</f>
        <v>166.10000000000002</v>
      </c>
      <c r="H16" s="45">
        <v>10</v>
      </c>
      <c r="I16" s="89">
        <v>368</v>
      </c>
    </row>
    <row r="17" spans="1:10" ht="16.5" thickBot="1" x14ac:dyDescent="0.25">
      <c r="A17" s="19" t="s">
        <v>1</v>
      </c>
      <c r="B17" s="16">
        <f t="shared" ref="B17:H17" si="6">SUM(B16:B16)</f>
        <v>100</v>
      </c>
      <c r="C17" s="20">
        <f t="shared" si="6"/>
        <v>0.4</v>
      </c>
      <c r="D17" s="20">
        <f t="shared" si="6"/>
        <v>0.4</v>
      </c>
      <c r="E17" s="20">
        <f t="shared" si="6"/>
        <v>8.5</v>
      </c>
      <c r="F17" s="95">
        <f t="shared" si="6"/>
        <v>39.200000000000003</v>
      </c>
      <c r="G17" s="95">
        <f t="shared" si="6"/>
        <v>166.10000000000002</v>
      </c>
      <c r="H17" s="20">
        <f t="shared" si="6"/>
        <v>10</v>
      </c>
      <c r="I17" s="95"/>
    </row>
    <row r="18" spans="1:10" ht="15.75" x14ac:dyDescent="0.2">
      <c r="A18" s="71" t="s">
        <v>3</v>
      </c>
      <c r="B18" s="38"/>
      <c r="C18" s="38"/>
      <c r="D18" s="38"/>
      <c r="E18" s="38"/>
      <c r="F18" s="146"/>
      <c r="G18" s="146"/>
      <c r="H18" s="38"/>
      <c r="I18" s="93"/>
      <c r="J18" s="142"/>
    </row>
    <row r="19" spans="1:10" ht="15.75" customHeight="1" x14ac:dyDescent="0.25">
      <c r="A19" s="4" t="s">
        <v>122</v>
      </c>
      <c r="B19" s="25">
        <f>20/30*30</f>
        <v>20</v>
      </c>
      <c r="C19" s="61">
        <f>20/30*0.2</f>
        <v>0.13333333333333333</v>
      </c>
      <c r="D19" s="61">
        <v>0</v>
      </c>
      <c r="E19" s="61">
        <f>20/30*1.4</f>
        <v>0.93333333333333324</v>
      </c>
      <c r="F19" s="89">
        <f>(C19+E19)*4+D19*9</f>
        <v>4.2666666666666666</v>
      </c>
      <c r="G19" s="89">
        <f>(C19+E19)*17+D19*37</f>
        <v>18.133333333333333</v>
      </c>
      <c r="H19" s="61">
        <f>20/30*7.5</f>
        <v>5</v>
      </c>
      <c r="I19" s="61"/>
      <c r="J19" s="142"/>
    </row>
    <row r="20" spans="1:10" ht="31.5" x14ac:dyDescent="0.25">
      <c r="A20" s="4" t="s">
        <v>48</v>
      </c>
      <c r="B20" s="25">
        <f>150/200*200</f>
        <v>150</v>
      </c>
      <c r="C20" s="26">
        <f>150/200*2.5</f>
        <v>1.875</v>
      </c>
      <c r="D20" s="26">
        <f>150/200*5</f>
        <v>3.75</v>
      </c>
      <c r="E20" s="26">
        <f>150/200*14.8</f>
        <v>11.100000000000001</v>
      </c>
      <c r="F20" s="89">
        <f t="shared" ref="F20:F25" si="7">(C20+E20)*4+D20*9</f>
        <v>85.65</v>
      </c>
      <c r="G20" s="89">
        <f t="shared" ref="G20:G25" si="8">(C20+E20)*17+D20*37</f>
        <v>359.32500000000005</v>
      </c>
      <c r="H20" s="31">
        <f>150/200*14</f>
        <v>10.5</v>
      </c>
      <c r="I20" s="89" t="s">
        <v>81</v>
      </c>
      <c r="J20" s="142"/>
    </row>
    <row r="21" spans="1:10" ht="15.75" x14ac:dyDescent="0.25">
      <c r="A21" s="4" t="s">
        <v>101</v>
      </c>
      <c r="B21" s="25" t="s">
        <v>163</v>
      </c>
      <c r="C21" s="26">
        <f>60/80*(60/70*10.5+0.45)</f>
        <v>7.0874999999999995</v>
      </c>
      <c r="D21" s="26">
        <f>60/80*(60/70*7.9+0.7)</f>
        <v>5.6035714285714286</v>
      </c>
      <c r="E21" s="26">
        <f>60/80*(60/70*4.3+2.6)</f>
        <v>4.7142857142857144</v>
      </c>
      <c r="F21" s="89">
        <f t="shared" si="7"/>
        <v>97.639285714285705</v>
      </c>
      <c r="G21" s="89">
        <f t="shared" si="8"/>
        <v>407.96249999999998</v>
      </c>
      <c r="H21" s="31">
        <f>60/80*(60/70*0.3)</f>
        <v>0.19285714285714284</v>
      </c>
      <c r="I21" s="96" t="s">
        <v>81</v>
      </c>
      <c r="J21" s="142"/>
    </row>
    <row r="22" spans="1:10" ht="15.75" x14ac:dyDescent="0.25">
      <c r="A22" s="4" t="s">
        <v>139</v>
      </c>
      <c r="B22" s="25">
        <f>80/100*100</f>
        <v>80</v>
      </c>
      <c r="C22" s="26">
        <f>80/100*8.8</f>
        <v>7.0400000000000009</v>
      </c>
      <c r="D22" s="26">
        <f>80/100*5</f>
        <v>4</v>
      </c>
      <c r="E22" s="26">
        <f>80/100*28.7</f>
        <v>22.96</v>
      </c>
      <c r="F22" s="89">
        <f t="shared" si="7"/>
        <v>156</v>
      </c>
      <c r="G22" s="89">
        <f t="shared" si="8"/>
        <v>658</v>
      </c>
      <c r="H22" s="46">
        <v>0</v>
      </c>
      <c r="I22" s="7" t="s">
        <v>117</v>
      </c>
      <c r="J22" s="142"/>
    </row>
    <row r="23" spans="1:10" ht="15.75" x14ac:dyDescent="0.25">
      <c r="A23" s="4" t="s">
        <v>2</v>
      </c>
      <c r="B23" s="25">
        <f>150/200*200</f>
        <v>150</v>
      </c>
      <c r="C23" s="26">
        <v>1.1000000000000001</v>
      </c>
      <c r="D23" s="26">
        <v>0.2</v>
      </c>
      <c r="E23" s="26">
        <v>35.4</v>
      </c>
      <c r="F23" s="89">
        <f t="shared" si="7"/>
        <v>147.80000000000001</v>
      </c>
      <c r="G23" s="89">
        <f t="shared" si="8"/>
        <v>627.9</v>
      </c>
      <c r="H23" s="31">
        <f>150/200*0.4</f>
        <v>0.30000000000000004</v>
      </c>
      <c r="I23" s="89">
        <v>376</v>
      </c>
    </row>
    <row r="24" spans="1:10" ht="15.75" x14ac:dyDescent="0.25">
      <c r="A24" s="4" t="s">
        <v>4</v>
      </c>
      <c r="B24" s="25">
        <f>25/35*35</f>
        <v>25</v>
      </c>
      <c r="C24" s="31">
        <f>25/35*2.3</f>
        <v>1.6428571428571428</v>
      </c>
      <c r="D24" s="31">
        <f>25/35*0.4</f>
        <v>0.28571428571428575</v>
      </c>
      <c r="E24" s="31">
        <f>25/35*8.3</f>
        <v>5.9285714285714288</v>
      </c>
      <c r="F24" s="89">
        <f t="shared" si="7"/>
        <v>32.857142857142854</v>
      </c>
      <c r="G24" s="89">
        <f t="shared" si="8"/>
        <v>139.28571428571431</v>
      </c>
      <c r="H24" s="31">
        <v>0</v>
      </c>
      <c r="I24" s="97"/>
      <c r="J24" s="142"/>
    </row>
    <row r="25" spans="1:10" ht="15.75" x14ac:dyDescent="0.25">
      <c r="A25" s="4" t="s">
        <v>0</v>
      </c>
      <c r="B25" s="25">
        <f>25/35*35</f>
        <v>25</v>
      </c>
      <c r="C25" s="31">
        <f>25/35*2.7</f>
        <v>1.9285714285714288</v>
      </c>
      <c r="D25" s="31">
        <f>25/35*0.3</f>
        <v>0.21428571428571427</v>
      </c>
      <c r="E25" s="31">
        <f>25/35*17.2</f>
        <v>12.285714285714285</v>
      </c>
      <c r="F25" s="89">
        <f t="shared" si="7"/>
        <v>58.785714285714285</v>
      </c>
      <c r="G25" s="89">
        <f t="shared" si="8"/>
        <v>249.57142857142856</v>
      </c>
      <c r="H25" s="31">
        <v>0</v>
      </c>
      <c r="I25" s="97"/>
      <c r="J25" s="166"/>
    </row>
    <row r="26" spans="1:10" ht="16.5" thickBot="1" x14ac:dyDescent="0.3">
      <c r="A26" s="9" t="s">
        <v>1</v>
      </c>
      <c r="B26" s="28">
        <f>B19+B20+80+B22+B23+B24+B25</f>
        <v>530</v>
      </c>
      <c r="C26" s="28">
        <f t="shared" ref="C26:H26" si="9">SUM(C19:C25)</f>
        <v>20.807261904761909</v>
      </c>
      <c r="D26" s="28">
        <f t="shared" si="9"/>
        <v>14.053571428571427</v>
      </c>
      <c r="E26" s="28">
        <f t="shared" si="9"/>
        <v>93.321904761904761</v>
      </c>
      <c r="F26" s="57">
        <f t="shared" si="9"/>
        <v>582.99880952380954</v>
      </c>
      <c r="G26" s="57">
        <f t="shared" si="9"/>
        <v>2460.1779761904759</v>
      </c>
      <c r="H26" s="81">
        <f t="shared" si="9"/>
        <v>15.992857142857144</v>
      </c>
      <c r="I26" s="73"/>
      <c r="J26" s="142"/>
    </row>
    <row r="27" spans="1:10" ht="15.75" x14ac:dyDescent="0.2">
      <c r="A27" s="71" t="s">
        <v>5</v>
      </c>
      <c r="B27" s="38"/>
      <c r="C27" s="38"/>
      <c r="D27" s="38"/>
      <c r="E27" s="38"/>
      <c r="F27" s="146"/>
      <c r="G27" s="146"/>
      <c r="H27" s="38"/>
      <c r="I27" s="93"/>
      <c r="J27" s="142"/>
    </row>
    <row r="28" spans="1:10" ht="15.75" x14ac:dyDescent="0.25">
      <c r="A28" s="4" t="s">
        <v>50</v>
      </c>
      <c r="B28" s="25" t="s">
        <v>161</v>
      </c>
      <c r="C28" s="26">
        <v>5.8</v>
      </c>
      <c r="D28" s="26">
        <v>6.2</v>
      </c>
      <c r="E28" s="26">
        <v>39.299999999999997</v>
      </c>
      <c r="F28" s="89">
        <f t="shared" ref="F28" si="10">(C28+E28)*4+D28*9</f>
        <v>236.2</v>
      </c>
      <c r="G28" s="89">
        <f t="shared" ref="G28" si="11">(C28+E28)*17+D28*37</f>
        <v>996.09999999999991</v>
      </c>
      <c r="H28" s="31">
        <v>3.9</v>
      </c>
      <c r="I28" s="122" t="s">
        <v>81</v>
      </c>
      <c r="J28" s="142"/>
    </row>
    <row r="29" spans="1:10" ht="15.75" x14ac:dyDescent="0.25">
      <c r="A29" s="4" t="s">
        <v>18</v>
      </c>
      <c r="B29" s="5">
        <v>60</v>
      </c>
      <c r="C29" s="6">
        <v>4.8</v>
      </c>
      <c r="D29" s="6">
        <v>6.8</v>
      </c>
      <c r="E29" s="6">
        <v>31.1</v>
      </c>
      <c r="F29" s="89">
        <f t="shared" ref="F29:F31" si="12">(C29+E29)*4+D29*9</f>
        <v>204.79999999999998</v>
      </c>
      <c r="G29" s="89">
        <f t="shared" ref="G29:G31" si="13">(C29+E29)*17+D29*37</f>
        <v>861.9</v>
      </c>
      <c r="H29" s="13">
        <v>0.53</v>
      </c>
      <c r="I29" s="97" t="s">
        <v>81</v>
      </c>
    </row>
    <row r="30" spans="1:10" ht="15.75" x14ac:dyDescent="0.25">
      <c r="A30" s="4" t="s">
        <v>23</v>
      </c>
      <c r="B30" s="25">
        <f>150/200*200</f>
        <v>150</v>
      </c>
      <c r="C30" s="26">
        <v>0</v>
      </c>
      <c r="D30" s="26">
        <v>0</v>
      </c>
      <c r="E30" s="26">
        <v>6</v>
      </c>
      <c r="F30" s="89">
        <f t="shared" si="12"/>
        <v>24</v>
      </c>
      <c r="G30" s="89">
        <f t="shared" si="13"/>
        <v>102</v>
      </c>
      <c r="H30" s="31">
        <v>83.3</v>
      </c>
      <c r="I30" s="97" t="s">
        <v>81</v>
      </c>
    </row>
    <row r="31" spans="1:10" ht="15.75" x14ac:dyDescent="0.25">
      <c r="A31" s="4" t="s">
        <v>42</v>
      </c>
      <c r="B31" s="5">
        <f>25/35*35</f>
        <v>25</v>
      </c>
      <c r="C31" s="6">
        <f>25/35*3</f>
        <v>2.1428571428571428</v>
      </c>
      <c r="D31" s="6">
        <f>25/35*0.5</f>
        <v>0.35714285714285715</v>
      </c>
      <c r="E31" s="6">
        <f>25/35*15.8</f>
        <v>11.285714285714286</v>
      </c>
      <c r="F31" s="89">
        <f t="shared" si="12"/>
        <v>56.928571428571431</v>
      </c>
      <c r="G31" s="89">
        <f t="shared" si="13"/>
        <v>241.5</v>
      </c>
      <c r="H31" s="13">
        <v>0</v>
      </c>
      <c r="I31" s="97"/>
    </row>
    <row r="32" spans="1:10" ht="16.5" thickBot="1" x14ac:dyDescent="0.25">
      <c r="A32" s="9" t="s">
        <v>1</v>
      </c>
      <c r="B32" s="10">
        <f>170+B29+B30+B31</f>
        <v>405</v>
      </c>
      <c r="C32" s="11">
        <f>SUM(C28:C31)</f>
        <v>12.742857142857142</v>
      </c>
      <c r="D32" s="11">
        <f t="shared" ref="D32:H32" si="14">SUM(D28:D31)</f>
        <v>13.357142857142858</v>
      </c>
      <c r="E32" s="11">
        <f t="shared" si="14"/>
        <v>87.685714285714297</v>
      </c>
      <c r="F32" s="73">
        <f t="shared" si="14"/>
        <v>521.92857142857144</v>
      </c>
      <c r="G32" s="73">
        <f t="shared" si="14"/>
        <v>2201.5</v>
      </c>
      <c r="H32" s="11">
        <f t="shared" si="14"/>
        <v>87.72999999999999</v>
      </c>
      <c r="I32" s="73"/>
    </row>
    <row r="33" spans="1:10" ht="16.5" thickBot="1" x14ac:dyDescent="0.25">
      <c r="A33" s="52" t="s">
        <v>10</v>
      </c>
      <c r="B33" s="51">
        <f>B32+B26+B17+B14</f>
        <v>1380</v>
      </c>
      <c r="C33" s="51">
        <f t="shared" ref="C33:H33" si="15">C14+C26+C32+C17</f>
        <v>40.750119047619052</v>
      </c>
      <c r="D33" s="51">
        <f t="shared" si="15"/>
        <v>37.810714285714283</v>
      </c>
      <c r="E33" s="51">
        <f t="shared" si="15"/>
        <v>235.50761904761907</v>
      </c>
      <c r="F33" s="147">
        <f t="shared" si="15"/>
        <v>1445.327380952381</v>
      </c>
      <c r="G33" s="147">
        <f t="shared" si="15"/>
        <v>6095.3779761904761</v>
      </c>
      <c r="H33" s="51">
        <f t="shared" si="15"/>
        <v>116.80285714285714</v>
      </c>
      <c r="I33" s="73"/>
      <c r="J33" s="142"/>
    </row>
    <row r="34" spans="1:10" ht="16.5" thickBot="1" x14ac:dyDescent="0.25">
      <c r="A34" s="178" t="s">
        <v>6</v>
      </c>
      <c r="B34" s="179">
        <v>2</v>
      </c>
      <c r="C34" s="18"/>
      <c r="D34" s="18"/>
      <c r="E34" s="18"/>
      <c r="F34" s="91"/>
      <c r="G34" s="91"/>
      <c r="H34" s="18"/>
      <c r="I34" s="180"/>
      <c r="J34" s="142"/>
    </row>
    <row r="35" spans="1:10" ht="16.5" thickTop="1" x14ac:dyDescent="0.2">
      <c r="A35" s="181" t="s">
        <v>20</v>
      </c>
      <c r="B35" s="36"/>
      <c r="C35" s="36"/>
      <c r="D35" s="36"/>
      <c r="E35" s="36"/>
      <c r="F35" s="148"/>
      <c r="G35" s="148"/>
      <c r="H35" s="36"/>
      <c r="I35" s="92"/>
      <c r="J35" s="142"/>
    </row>
    <row r="36" spans="1:10" ht="15.75" x14ac:dyDescent="0.25">
      <c r="A36" s="4" t="s">
        <v>166</v>
      </c>
      <c r="B36" s="88">
        <v>150</v>
      </c>
      <c r="C36" s="88">
        <v>5.2</v>
      </c>
      <c r="D36" s="88">
        <v>7.1</v>
      </c>
      <c r="E36" s="88">
        <v>19.7</v>
      </c>
      <c r="F36" s="89">
        <f>(C36+E36)*4+D36*9</f>
        <v>163.5</v>
      </c>
      <c r="G36" s="89">
        <f>(C36+E36)*17+D36*37</f>
        <v>686</v>
      </c>
      <c r="H36" s="31">
        <v>0.7</v>
      </c>
      <c r="I36" s="89">
        <v>413</v>
      </c>
    </row>
    <row r="37" spans="1:10" ht="15.75" x14ac:dyDescent="0.25">
      <c r="A37" s="4" t="s">
        <v>41</v>
      </c>
      <c r="B37" s="8" t="s">
        <v>53</v>
      </c>
      <c r="C37" s="6">
        <v>2.4</v>
      </c>
      <c r="D37" s="6">
        <v>7.5</v>
      </c>
      <c r="E37" s="6">
        <v>14.9</v>
      </c>
      <c r="F37" s="89">
        <f t="shared" ref="F37" si="16">(C37+E37)*4+D37*9</f>
        <v>136.69999999999999</v>
      </c>
      <c r="G37" s="97">
        <f t="shared" ref="G37" si="17">(C37+E37)*17+D37*37</f>
        <v>571.6</v>
      </c>
      <c r="H37" s="45">
        <v>0</v>
      </c>
      <c r="I37" s="96">
        <v>3</v>
      </c>
    </row>
    <row r="38" spans="1:10" ht="15.75" x14ac:dyDescent="0.25">
      <c r="A38" s="4" t="s">
        <v>64</v>
      </c>
      <c r="B38" s="5">
        <f>150/200*200</f>
        <v>150</v>
      </c>
      <c r="C38" s="6">
        <v>0.1</v>
      </c>
      <c r="D38" s="6">
        <v>0</v>
      </c>
      <c r="E38" s="6">
        <v>10</v>
      </c>
      <c r="F38" s="89">
        <f t="shared" ref="F38" si="18">(C38+E38)*4+D38*9</f>
        <v>40.4</v>
      </c>
      <c r="G38" s="89">
        <f t="shared" ref="G38" si="19">(C38+E38)*17+D38*37</f>
        <v>171.7</v>
      </c>
      <c r="H38" s="13">
        <v>2.4</v>
      </c>
      <c r="I38" s="97" t="s">
        <v>81</v>
      </c>
      <c r="J38" s="142"/>
    </row>
    <row r="39" spans="1:10" ht="16.5" thickBot="1" x14ac:dyDescent="0.25">
      <c r="A39" s="9" t="s">
        <v>1</v>
      </c>
      <c r="B39" s="11">
        <f>B36+40+B38</f>
        <v>340</v>
      </c>
      <c r="C39" s="11">
        <f>SUM(C36:C38)</f>
        <v>7.6999999999999993</v>
      </c>
      <c r="D39" s="11">
        <f>SUM(D36:D38)</f>
        <v>14.6</v>
      </c>
      <c r="E39" s="11">
        <f t="shared" ref="E39:H39" si="20">SUM(E36:E38)</f>
        <v>44.6</v>
      </c>
      <c r="F39" s="73">
        <f>SUM(F36:F38)</f>
        <v>340.59999999999997</v>
      </c>
      <c r="G39" s="73">
        <f t="shared" si="20"/>
        <v>1429.3</v>
      </c>
      <c r="H39" s="11">
        <f t="shared" si="20"/>
        <v>3.0999999999999996</v>
      </c>
      <c r="I39" s="73"/>
      <c r="J39" s="142"/>
    </row>
    <row r="40" spans="1:10" ht="15.75" x14ac:dyDescent="0.2">
      <c r="A40" s="71" t="s">
        <v>35</v>
      </c>
      <c r="B40" s="38"/>
      <c r="C40" s="38"/>
      <c r="D40" s="38"/>
      <c r="E40" s="38"/>
      <c r="F40" s="146"/>
      <c r="G40" s="146"/>
      <c r="H40" s="38"/>
      <c r="I40" s="93"/>
    </row>
    <row r="41" spans="1:10" ht="15.75" x14ac:dyDescent="0.25">
      <c r="A41" s="4" t="s">
        <v>97</v>
      </c>
      <c r="B41" s="5">
        <f>150/180*180</f>
        <v>150</v>
      </c>
      <c r="C41" s="6">
        <f>150/180*1.8*0.5</f>
        <v>0.75</v>
      </c>
      <c r="D41" s="6">
        <v>0</v>
      </c>
      <c r="E41" s="6">
        <f>150/180*1.8*12.7</f>
        <v>19.049999999999997</v>
      </c>
      <c r="F41" s="97">
        <f>(C41+E41)*4+D41*9</f>
        <v>79.199999999999989</v>
      </c>
      <c r="G41" s="97">
        <f t="shared" ref="G41" si="21">(C41+E41)*17+D41*37</f>
        <v>336.59999999999997</v>
      </c>
      <c r="H41" s="13">
        <f>150/180*1.8*4</f>
        <v>6</v>
      </c>
      <c r="I41" s="130">
        <v>399</v>
      </c>
      <c r="J41" s="142"/>
    </row>
    <row r="42" spans="1:10" ht="16.5" thickBot="1" x14ac:dyDescent="0.25">
      <c r="A42" s="15" t="s">
        <v>1</v>
      </c>
      <c r="B42" s="10">
        <f t="shared" ref="B42:H42" si="22">SUM(B41:B41)</f>
        <v>150</v>
      </c>
      <c r="C42" s="11">
        <f t="shared" si="22"/>
        <v>0.75</v>
      </c>
      <c r="D42" s="11">
        <f>SUM(D41:D41)</f>
        <v>0</v>
      </c>
      <c r="E42" s="10">
        <f t="shared" si="22"/>
        <v>19.049999999999997</v>
      </c>
      <c r="F42" s="73">
        <f t="shared" si="22"/>
        <v>79.199999999999989</v>
      </c>
      <c r="G42" s="73">
        <f t="shared" si="22"/>
        <v>336.59999999999997</v>
      </c>
      <c r="H42" s="11">
        <f t="shared" si="22"/>
        <v>6</v>
      </c>
      <c r="I42" s="73"/>
      <c r="J42" s="142"/>
    </row>
    <row r="43" spans="1:10" ht="15.75" x14ac:dyDescent="0.2">
      <c r="A43" s="71" t="s">
        <v>3</v>
      </c>
      <c r="B43" s="38"/>
      <c r="C43" s="38"/>
      <c r="D43" s="38"/>
      <c r="E43" s="38"/>
      <c r="F43" s="146"/>
      <c r="G43" s="146"/>
      <c r="H43" s="38"/>
      <c r="I43" s="93"/>
      <c r="J43" s="142"/>
    </row>
    <row r="44" spans="1:10" ht="15.75" x14ac:dyDescent="0.25">
      <c r="A44" s="4" t="s">
        <v>122</v>
      </c>
      <c r="B44" s="25">
        <f>20/30*30</f>
        <v>20</v>
      </c>
      <c r="C44" s="61">
        <f>20/30*0.2</f>
        <v>0.13333333333333333</v>
      </c>
      <c r="D44" s="61">
        <v>0</v>
      </c>
      <c r="E44" s="61">
        <f>20/30*1.4</f>
        <v>0.93333333333333324</v>
      </c>
      <c r="F44" s="89">
        <f>(C44+E44)*4+D44*9</f>
        <v>4.2666666666666666</v>
      </c>
      <c r="G44" s="89">
        <f>(C44+E44)*17+D44*37</f>
        <v>18.133333333333333</v>
      </c>
      <c r="H44" s="61">
        <f>20/30*7.5</f>
        <v>5</v>
      </c>
      <c r="I44" s="168"/>
      <c r="J44" s="142"/>
    </row>
    <row r="45" spans="1:10" ht="31.5" x14ac:dyDescent="0.25">
      <c r="A45" s="4" t="s">
        <v>102</v>
      </c>
      <c r="B45" s="25" t="s">
        <v>162</v>
      </c>
      <c r="C45" s="61">
        <f>156/210*4.5</f>
        <v>3.342857142857143</v>
      </c>
      <c r="D45" s="61">
        <f>156/210*7</f>
        <v>5.2</v>
      </c>
      <c r="E45" s="61">
        <f>156/210*17.4</f>
        <v>12.925714285714285</v>
      </c>
      <c r="F45" s="89">
        <f>(C45+E45)*4+D45*9</f>
        <v>111.87428571428572</v>
      </c>
      <c r="G45" s="89">
        <f>(C45+E45)*17+D45*37</f>
        <v>468.96571428571428</v>
      </c>
      <c r="H45" s="46">
        <f>156/210*12.9</f>
        <v>9.5828571428571436</v>
      </c>
      <c r="I45" s="97" t="s">
        <v>81</v>
      </c>
      <c r="J45" s="142"/>
    </row>
    <row r="46" spans="1:10" ht="15.75" x14ac:dyDescent="0.2">
      <c r="A46" s="4" t="s">
        <v>93</v>
      </c>
      <c r="B46" s="5" t="s">
        <v>164</v>
      </c>
      <c r="C46" s="6">
        <f>43/65*9.7</f>
        <v>6.4169230769230765</v>
      </c>
      <c r="D46" s="6">
        <f>43/65*6.3</f>
        <v>4.1676923076923078</v>
      </c>
      <c r="E46" s="6">
        <f>43/65*9.3</f>
        <v>6.1523076923076925</v>
      </c>
      <c r="F46" s="97">
        <f>(C46+E46)*4+D46*9</f>
        <v>87.786153846153837</v>
      </c>
      <c r="G46" s="97">
        <f>(C46+E46)*17+D46*37</f>
        <v>367.88153846153841</v>
      </c>
      <c r="H46" s="13">
        <v>0</v>
      </c>
      <c r="I46" s="97">
        <v>282</v>
      </c>
      <c r="J46" s="142"/>
    </row>
    <row r="47" spans="1:10" ht="15.75" x14ac:dyDescent="0.25">
      <c r="A47" s="4" t="s">
        <v>106</v>
      </c>
      <c r="B47" s="29">
        <f>80/100*100/150*150</f>
        <v>80</v>
      </c>
      <c r="C47" s="30">
        <f>80/100*4.8</f>
        <v>3.84</v>
      </c>
      <c r="D47" s="30">
        <v>2.9</v>
      </c>
      <c r="E47" s="30">
        <v>25</v>
      </c>
      <c r="F47" s="26">
        <f t="shared" ref="F47" si="23">(C47+E47)*4+D47*9</f>
        <v>141.46</v>
      </c>
      <c r="G47" s="26">
        <f t="shared" ref="G47" si="24">(C47+E47)*17+D47*37</f>
        <v>597.57999999999993</v>
      </c>
      <c r="H47" s="31">
        <v>0</v>
      </c>
      <c r="I47" s="89">
        <v>313</v>
      </c>
      <c r="J47" s="142"/>
    </row>
    <row r="48" spans="1:10" ht="15.75" x14ac:dyDescent="0.25">
      <c r="A48" s="4" t="s">
        <v>15</v>
      </c>
      <c r="B48" s="42">
        <f>150/200*200</f>
        <v>150</v>
      </c>
      <c r="C48" s="43">
        <v>0.6</v>
      </c>
      <c r="D48" s="43">
        <f>150/200*0.1</f>
        <v>7.5000000000000011E-2</v>
      </c>
      <c r="E48" s="43">
        <v>21.8</v>
      </c>
      <c r="F48" s="89">
        <f t="shared" ref="F48:F50" si="25">(C48+E48)*4+D48*9</f>
        <v>90.275000000000006</v>
      </c>
      <c r="G48" s="89">
        <f t="shared" ref="G48:G50" si="26">(C48+E48)*17+D48*37</f>
        <v>383.57499999999999</v>
      </c>
      <c r="H48" s="131">
        <v>0.3</v>
      </c>
      <c r="I48" s="97" t="s">
        <v>81</v>
      </c>
      <c r="J48" s="142"/>
    </row>
    <row r="49" spans="1:10" ht="15.75" x14ac:dyDescent="0.25">
      <c r="A49" s="4" t="s">
        <v>4</v>
      </c>
      <c r="B49" s="5">
        <f>25/35*35</f>
        <v>25</v>
      </c>
      <c r="C49" s="13">
        <f>25/35*2.3</f>
        <v>1.6428571428571428</v>
      </c>
      <c r="D49" s="13">
        <f>25/35*0.4</f>
        <v>0.28571428571428575</v>
      </c>
      <c r="E49" s="13">
        <f>25/35*8.3</f>
        <v>5.9285714285714288</v>
      </c>
      <c r="F49" s="89">
        <f t="shared" si="25"/>
        <v>32.857142857142854</v>
      </c>
      <c r="G49" s="89">
        <f t="shared" si="26"/>
        <v>139.28571428571431</v>
      </c>
      <c r="H49" s="13">
        <v>0</v>
      </c>
      <c r="I49" s="97"/>
      <c r="J49" s="142"/>
    </row>
    <row r="50" spans="1:10" ht="15.75" x14ac:dyDescent="0.25">
      <c r="A50" s="4" t="s">
        <v>0</v>
      </c>
      <c r="B50" s="5">
        <f>25/35*35</f>
        <v>25</v>
      </c>
      <c r="C50" s="13">
        <f>25/35*2.7</f>
        <v>1.9285714285714288</v>
      </c>
      <c r="D50" s="13">
        <f>25/35*0.3</f>
        <v>0.21428571428571427</v>
      </c>
      <c r="E50" s="13">
        <f>25/35*17.2</f>
        <v>12.285714285714285</v>
      </c>
      <c r="F50" s="89">
        <f t="shared" si="25"/>
        <v>58.785714285714285</v>
      </c>
      <c r="G50" s="89">
        <f t="shared" si="26"/>
        <v>249.57142857142856</v>
      </c>
      <c r="H50" s="13">
        <v>0</v>
      </c>
      <c r="I50" s="97"/>
      <c r="J50" s="142"/>
    </row>
    <row r="51" spans="1:10" ht="16.5" thickBot="1" x14ac:dyDescent="0.25">
      <c r="A51" s="9" t="s">
        <v>1</v>
      </c>
      <c r="B51" s="11">
        <f>B44+156+65+B47+B48+B49+B50</f>
        <v>521</v>
      </c>
      <c r="C51" s="11">
        <f t="shared" ref="C51:H51" si="27">SUM(C45:C50)</f>
        <v>17.771208791208792</v>
      </c>
      <c r="D51" s="11">
        <f t="shared" si="27"/>
        <v>12.842692307692309</v>
      </c>
      <c r="E51" s="11">
        <f t="shared" si="27"/>
        <v>84.092307692307685</v>
      </c>
      <c r="F51" s="73">
        <f t="shared" si="27"/>
        <v>523.03829670329662</v>
      </c>
      <c r="G51" s="73">
        <f t="shared" si="27"/>
        <v>2206.8593956043956</v>
      </c>
      <c r="H51" s="41">
        <f t="shared" si="27"/>
        <v>9.8828571428571443</v>
      </c>
      <c r="I51" s="73"/>
      <c r="J51" s="142"/>
    </row>
    <row r="52" spans="1:10" ht="15.75" x14ac:dyDescent="0.2">
      <c r="A52" s="71" t="s">
        <v>5</v>
      </c>
      <c r="B52" s="38"/>
      <c r="C52" s="38"/>
      <c r="D52" s="38"/>
      <c r="E52" s="38"/>
      <c r="F52" s="146"/>
      <c r="G52" s="146"/>
      <c r="H52" s="38"/>
      <c r="I52" s="93"/>
    </row>
    <row r="53" spans="1:10" ht="15.75" x14ac:dyDescent="0.25">
      <c r="A53" s="4" t="s">
        <v>105</v>
      </c>
      <c r="B53" s="5">
        <f>30/50*50</f>
        <v>30</v>
      </c>
      <c r="C53" s="6">
        <f>0.6/1.5</f>
        <v>0.39999999999999997</v>
      </c>
      <c r="D53" s="6">
        <f>2.7/1.5</f>
        <v>1.8</v>
      </c>
      <c r="E53" s="6">
        <f>7.4/1.5</f>
        <v>4.9333333333333336</v>
      </c>
      <c r="F53" s="97">
        <f t="shared" ref="F53" si="28">(C53+E53)*4+D53*9</f>
        <v>37.533333333333331</v>
      </c>
      <c r="G53" s="97">
        <f t="shared" ref="G53" si="29">(C53+E53)*17+D53*37</f>
        <v>157.26666666666668</v>
      </c>
      <c r="H53" s="13">
        <f>30/50*4</f>
        <v>2.4</v>
      </c>
      <c r="I53" s="89" t="s">
        <v>81</v>
      </c>
    </row>
    <row r="54" spans="1:10" ht="15.75" x14ac:dyDescent="0.25">
      <c r="A54" s="14" t="s">
        <v>112</v>
      </c>
      <c r="B54" s="5" t="s">
        <v>161</v>
      </c>
      <c r="C54" s="6">
        <v>16.600000000000001</v>
      </c>
      <c r="D54" s="6">
        <v>16.2</v>
      </c>
      <c r="E54" s="6">
        <v>26.7</v>
      </c>
      <c r="F54" s="97">
        <f>(C54+E54)*4+D54*9</f>
        <v>319</v>
      </c>
      <c r="G54" s="97">
        <f>(C54+E54)*17+D54*37</f>
        <v>1335.5</v>
      </c>
      <c r="H54" s="13">
        <f>165/220*0.2</f>
        <v>0.15000000000000002</v>
      </c>
      <c r="I54" s="89" t="s">
        <v>81</v>
      </c>
    </row>
    <row r="55" spans="1:10" ht="15.75" x14ac:dyDescent="0.25">
      <c r="A55" s="56" t="s">
        <v>111</v>
      </c>
      <c r="B55" s="5">
        <f>20/40*40</f>
        <v>20</v>
      </c>
      <c r="C55" s="72">
        <f>20/40*0.4*0.85</f>
        <v>0.17</v>
      </c>
      <c r="D55" s="72">
        <f>20/40*0.4*1.95</f>
        <v>0.39</v>
      </c>
      <c r="E55" s="72">
        <f>20/40*0.4*77.1</f>
        <v>15.42</v>
      </c>
      <c r="F55" s="89">
        <f t="shared" ref="F55:F57" si="30">(C55+E55)*4+D55*9</f>
        <v>65.87</v>
      </c>
      <c r="G55" s="97">
        <f t="shared" ref="G55:G57" si="31">(C55+E55)*17+D55*37</f>
        <v>279.45999999999998</v>
      </c>
      <c r="H55" s="48">
        <v>0</v>
      </c>
      <c r="I55" s="94"/>
      <c r="J55" s="142"/>
    </row>
    <row r="56" spans="1:10" ht="15.75" x14ac:dyDescent="0.25">
      <c r="A56" s="4" t="s">
        <v>107</v>
      </c>
      <c r="B56" s="5">
        <f>150/200*200</f>
        <v>150</v>
      </c>
      <c r="C56" s="6">
        <v>0</v>
      </c>
      <c r="D56" s="6">
        <v>0</v>
      </c>
      <c r="E56" s="6">
        <f>150/200*10</f>
        <v>7.5</v>
      </c>
      <c r="F56" s="97">
        <f t="shared" si="30"/>
        <v>30</v>
      </c>
      <c r="G56" s="97">
        <f t="shared" si="31"/>
        <v>127.5</v>
      </c>
      <c r="H56" s="13">
        <f>150/200*0.2</f>
        <v>0.15000000000000002</v>
      </c>
      <c r="I56" s="89">
        <v>392</v>
      </c>
      <c r="J56" s="142"/>
    </row>
    <row r="57" spans="1:10" ht="15.75" x14ac:dyDescent="0.2">
      <c r="A57" s="4" t="s">
        <v>42</v>
      </c>
      <c r="B57" s="5">
        <f>25/35*35</f>
        <v>25</v>
      </c>
      <c r="C57" s="6">
        <f>25/35*3</f>
        <v>2.1428571428571428</v>
      </c>
      <c r="D57" s="6">
        <f>25/35*0.5</f>
        <v>0.35714285714285715</v>
      </c>
      <c r="E57" s="6">
        <f>25/35*15.8</f>
        <v>11.285714285714286</v>
      </c>
      <c r="F57" s="97">
        <f t="shared" si="30"/>
        <v>56.928571428571431</v>
      </c>
      <c r="G57" s="97">
        <f t="shared" si="31"/>
        <v>241.5</v>
      </c>
      <c r="H57" s="13">
        <v>0</v>
      </c>
      <c r="I57" s="97"/>
      <c r="J57" s="142"/>
    </row>
    <row r="58" spans="1:10" ht="16.5" thickBot="1" x14ac:dyDescent="0.25">
      <c r="A58" s="9" t="s">
        <v>1</v>
      </c>
      <c r="B58" s="10">
        <f>B53+170+B55+B56+B57</f>
        <v>395</v>
      </c>
      <c r="C58" s="20">
        <f>SUM(C53:C57)</f>
        <v>19.312857142857144</v>
      </c>
      <c r="D58" s="20">
        <f t="shared" ref="D58:H58" si="32">SUM(D53:D57)</f>
        <v>18.747142857142858</v>
      </c>
      <c r="E58" s="20">
        <f t="shared" si="32"/>
        <v>65.839047619047619</v>
      </c>
      <c r="F58" s="95">
        <f t="shared" si="32"/>
        <v>509.33190476190475</v>
      </c>
      <c r="G58" s="95">
        <f t="shared" si="32"/>
        <v>2141.2266666666665</v>
      </c>
      <c r="H58" s="20">
        <f t="shared" si="32"/>
        <v>2.6999999999999997</v>
      </c>
      <c r="I58" s="73"/>
    </row>
    <row r="59" spans="1:10" ht="16.5" thickBot="1" x14ac:dyDescent="0.25">
      <c r="A59" s="50" t="s">
        <v>10</v>
      </c>
      <c r="B59" s="51">
        <f>B58+B51+B42+B39</f>
        <v>1406</v>
      </c>
      <c r="C59" s="54">
        <f t="shared" ref="C59:H59" si="33">C39+C51+C58+C42</f>
        <v>45.534065934065936</v>
      </c>
      <c r="D59" s="54">
        <f t="shared" si="33"/>
        <v>46.189835164835166</v>
      </c>
      <c r="E59" s="54">
        <f t="shared" si="33"/>
        <v>213.58135531135531</v>
      </c>
      <c r="F59" s="60">
        <f t="shared" si="33"/>
        <v>1452.1702014652014</v>
      </c>
      <c r="G59" s="60">
        <f t="shared" si="33"/>
        <v>6113.9860622710621</v>
      </c>
      <c r="H59" s="54">
        <f t="shared" si="33"/>
        <v>21.682857142857145</v>
      </c>
      <c r="I59" s="73"/>
    </row>
    <row r="60" spans="1:10" ht="16.5" customHeight="1" thickBot="1" x14ac:dyDescent="0.25">
      <c r="A60" s="178" t="s">
        <v>6</v>
      </c>
      <c r="B60" s="179">
        <v>3</v>
      </c>
      <c r="C60" s="18"/>
      <c r="D60" s="18"/>
      <c r="E60" s="18"/>
      <c r="F60" s="91"/>
      <c r="G60" s="91"/>
      <c r="H60" s="18"/>
      <c r="I60" s="180"/>
    </row>
    <row r="61" spans="1:10" ht="15.75" x14ac:dyDescent="0.2">
      <c r="A61" s="71" t="s">
        <v>21</v>
      </c>
      <c r="B61" s="38"/>
      <c r="C61" s="38"/>
      <c r="D61" s="38"/>
      <c r="E61" s="38"/>
      <c r="F61" s="146"/>
      <c r="G61" s="146"/>
      <c r="H61" s="38"/>
      <c r="I61" s="93"/>
      <c r="J61" s="142"/>
    </row>
    <row r="62" spans="1:10" ht="15.75" x14ac:dyDescent="0.25">
      <c r="A62" s="24" t="s">
        <v>103</v>
      </c>
      <c r="B62" s="88">
        <v>150</v>
      </c>
      <c r="C62" s="30">
        <f>150/200*6.5</f>
        <v>4.875</v>
      </c>
      <c r="D62" s="30">
        <f>150/200*9.7</f>
        <v>7.2749999999999995</v>
      </c>
      <c r="E62" s="30">
        <f>150/200*31.2</f>
        <v>23.4</v>
      </c>
      <c r="F62" s="89">
        <f t="shared" ref="F62:F63" si="34">(C62+E62)*4+D62*9</f>
        <v>178.57499999999999</v>
      </c>
      <c r="G62" s="97">
        <f t="shared" ref="G62:G63" si="35">(C62+E62)*17+D62*37</f>
        <v>749.84999999999991</v>
      </c>
      <c r="H62" s="47">
        <f>150/200*0.9</f>
        <v>0.67500000000000004</v>
      </c>
      <c r="I62" s="89">
        <v>185</v>
      </c>
      <c r="J62" s="142"/>
    </row>
    <row r="63" spans="1:10" ht="15.75" x14ac:dyDescent="0.25">
      <c r="A63" s="4" t="s">
        <v>150</v>
      </c>
      <c r="B63" s="8" t="s">
        <v>44</v>
      </c>
      <c r="C63" s="6">
        <v>7.1</v>
      </c>
      <c r="D63" s="6">
        <v>8.5</v>
      </c>
      <c r="E63" s="6">
        <v>22.5</v>
      </c>
      <c r="F63" s="97">
        <f t="shared" si="34"/>
        <v>194.9</v>
      </c>
      <c r="G63" s="97">
        <f t="shared" si="35"/>
        <v>817.7</v>
      </c>
      <c r="H63" s="45">
        <v>0.11</v>
      </c>
      <c r="I63" s="96">
        <v>3</v>
      </c>
    </row>
    <row r="64" spans="1:10" ht="15.75" x14ac:dyDescent="0.25">
      <c r="A64" s="4" t="s">
        <v>19</v>
      </c>
      <c r="B64" s="42">
        <f>150/200*200</f>
        <v>150</v>
      </c>
      <c r="C64" s="43">
        <v>4.5999999999999996</v>
      </c>
      <c r="D64" s="43">
        <v>3.8</v>
      </c>
      <c r="E64" s="43">
        <v>16.899999999999999</v>
      </c>
      <c r="F64" s="167">
        <f t="shared" ref="F64" si="36">(C64+E64)*4+D64*9</f>
        <v>120.19999999999999</v>
      </c>
      <c r="G64" s="89">
        <f t="shared" ref="G64" si="37">(C64+E64)*17+D64*37</f>
        <v>506.1</v>
      </c>
      <c r="H64" s="13">
        <v>0.8</v>
      </c>
      <c r="I64" s="97">
        <v>397</v>
      </c>
      <c r="J64" s="142"/>
    </row>
    <row r="65" spans="1:10" ht="16.5" thickBot="1" x14ac:dyDescent="0.25">
      <c r="A65" s="9" t="s">
        <v>1</v>
      </c>
      <c r="B65" s="175">
        <f>B62+B64+45</f>
        <v>345</v>
      </c>
      <c r="C65" s="11">
        <f t="shared" ref="C65:H65" si="38">SUM(C62:C64)</f>
        <v>16.574999999999999</v>
      </c>
      <c r="D65" s="11">
        <f t="shared" si="38"/>
        <v>19.574999999999999</v>
      </c>
      <c r="E65" s="11">
        <f t="shared" si="38"/>
        <v>62.8</v>
      </c>
      <c r="F65" s="73">
        <f t="shared" si="38"/>
        <v>493.67500000000001</v>
      </c>
      <c r="G65" s="73">
        <f t="shared" si="38"/>
        <v>2073.65</v>
      </c>
      <c r="H65" s="11">
        <f t="shared" si="38"/>
        <v>1.585</v>
      </c>
      <c r="I65" s="73"/>
      <c r="J65" s="142"/>
    </row>
    <row r="66" spans="1:10" ht="15" customHeight="1" x14ac:dyDescent="0.25">
      <c r="A66" s="71" t="s">
        <v>35</v>
      </c>
      <c r="B66" s="38"/>
      <c r="C66" s="38"/>
      <c r="D66" s="38"/>
      <c r="E66" s="38"/>
      <c r="F66" s="146"/>
      <c r="G66" s="146"/>
      <c r="H66" s="38"/>
      <c r="I66" s="89"/>
      <c r="J66" s="142"/>
    </row>
    <row r="67" spans="1:10" ht="15.75" x14ac:dyDescent="0.2">
      <c r="A67" s="4" t="s">
        <v>36</v>
      </c>
      <c r="B67" s="5">
        <v>100</v>
      </c>
      <c r="C67" s="6">
        <v>0.4</v>
      </c>
      <c r="D67" s="6">
        <v>0.3</v>
      </c>
      <c r="E67" s="6">
        <v>8.6</v>
      </c>
      <c r="F67" s="97">
        <f t="shared" ref="F67" si="39">(C67+E67)*4+D67*9</f>
        <v>38.700000000000003</v>
      </c>
      <c r="G67" s="97">
        <f t="shared" ref="G67" si="40">(C67+E67)*17+D67*37</f>
        <v>164.1</v>
      </c>
      <c r="H67" s="13">
        <v>0.7</v>
      </c>
      <c r="I67" s="97">
        <v>368</v>
      </c>
    </row>
    <row r="68" spans="1:10" ht="16.5" thickBot="1" x14ac:dyDescent="0.3">
      <c r="A68" s="19" t="s">
        <v>1</v>
      </c>
      <c r="B68" s="34">
        <f t="shared" ref="B68:H68" si="41">SUM(B67:B67)</f>
        <v>100</v>
      </c>
      <c r="C68" s="119">
        <f t="shared" si="41"/>
        <v>0.4</v>
      </c>
      <c r="D68" s="119">
        <f t="shared" si="41"/>
        <v>0.3</v>
      </c>
      <c r="E68" s="119">
        <f t="shared" si="41"/>
        <v>8.6</v>
      </c>
      <c r="F68" s="149">
        <f t="shared" si="41"/>
        <v>38.700000000000003</v>
      </c>
      <c r="G68" s="149">
        <f t="shared" si="41"/>
        <v>164.1</v>
      </c>
      <c r="H68" s="34">
        <f t="shared" si="41"/>
        <v>0.7</v>
      </c>
      <c r="I68" s="89"/>
    </row>
    <row r="69" spans="1:10" ht="15.75" x14ac:dyDescent="0.2">
      <c r="A69" s="71" t="s">
        <v>3</v>
      </c>
      <c r="B69" s="38"/>
      <c r="C69" s="38"/>
      <c r="D69" s="38"/>
      <c r="E69" s="38"/>
      <c r="F69" s="146"/>
      <c r="G69" s="146"/>
      <c r="H69" s="38"/>
      <c r="I69" s="93"/>
      <c r="J69" s="143"/>
    </row>
    <row r="70" spans="1:10" ht="15.75" x14ac:dyDescent="0.25">
      <c r="A70" s="4" t="s">
        <v>140</v>
      </c>
      <c r="B70" s="25">
        <v>50</v>
      </c>
      <c r="C70" s="26">
        <v>0.5</v>
      </c>
      <c r="D70" s="26">
        <v>4.3</v>
      </c>
      <c r="E70" s="26">
        <v>3.9</v>
      </c>
      <c r="F70" s="89">
        <f t="shared" ref="F70" si="42">(C70+E70)*4+D70*9</f>
        <v>56.3</v>
      </c>
      <c r="G70" s="89">
        <f t="shared" ref="G70" si="43">(C70+E70)*17+D70*37</f>
        <v>233.9</v>
      </c>
      <c r="H70" s="46">
        <v>0.39</v>
      </c>
      <c r="I70" s="115" t="s">
        <v>81</v>
      </c>
      <c r="J70" s="144"/>
    </row>
    <row r="71" spans="1:10" ht="15.75" x14ac:dyDescent="0.25">
      <c r="A71" s="4" t="s">
        <v>51</v>
      </c>
      <c r="B71" s="25">
        <v>150</v>
      </c>
      <c r="C71" s="26">
        <f>150/200*1.9</f>
        <v>1.4249999999999998</v>
      </c>
      <c r="D71" s="26">
        <f>150/200*3.4</f>
        <v>2.5499999999999998</v>
      </c>
      <c r="E71" s="26">
        <f>150/200*11.1</f>
        <v>8.3249999999999993</v>
      </c>
      <c r="F71" s="89">
        <f t="shared" ref="F71:F75" si="44">(C71+E71)*4+D71*9</f>
        <v>61.95</v>
      </c>
      <c r="G71" s="89">
        <f t="shared" ref="G71:G75" si="45">(C71+E71)*17+D71*37</f>
        <v>260.10000000000002</v>
      </c>
      <c r="H71" s="31">
        <f>150/200*23.3</f>
        <v>17.475000000000001</v>
      </c>
      <c r="I71" s="89" t="s">
        <v>81</v>
      </c>
      <c r="J71" s="142"/>
    </row>
    <row r="72" spans="1:10" ht="15.75" x14ac:dyDescent="0.25">
      <c r="A72" s="4" t="s">
        <v>22</v>
      </c>
      <c r="B72" s="25">
        <f>120*160/160</f>
        <v>120</v>
      </c>
      <c r="C72" s="26">
        <f>120/160*16.7</f>
        <v>12.524999999999999</v>
      </c>
      <c r="D72" s="26">
        <f>120/160*14.6</f>
        <v>10.95</v>
      </c>
      <c r="E72" s="26">
        <f>120/160*27.8</f>
        <v>20.85</v>
      </c>
      <c r="F72" s="89">
        <f t="shared" si="44"/>
        <v>232.05</v>
      </c>
      <c r="G72" s="89">
        <f t="shared" si="45"/>
        <v>972.52499999999998</v>
      </c>
      <c r="H72" s="31">
        <f>120/160*1.6</f>
        <v>1.2000000000000002</v>
      </c>
      <c r="I72" s="89">
        <v>304</v>
      </c>
      <c r="J72" s="142"/>
    </row>
    <row r="73" spans="1:10" ht="15.75" x14ac:dyDescent="0.25">
      <c r="A73" s="4" t="s">
        <v>108</v>
      </c>
      <c r="B73" s="29">
        <v>150</v>
      </c>
      <c r="C73" s="6">
        <f>150/180*0.2</f>
        <v>0.16666666666666669</v>
      </c>
      <c r="D73" s="6">
        <v>0</v>
      </c>
      <c r="E73" s="6">
        <f>150/180*12.3</f>
        <v>10.250000000000002</v>
      </c>
      <c r="F73" s="89">
        <f t="shared" si="44"/>
        <v>41.666666666666671</v>
      </c>
      <c r="G73" s="89">
        <f t="shared" si="45"/>
        <v>177.08333333333334</v>
      </c>
      <c r="H73" s="45">
        <f>150/180*16.7</f>
        <v>13.916666666666666</v>
      </c>
      <c r="I73" s="122" t="s">
        <v>81</v>
      </c>
      <c r="J73" s="145"/>
    </row>
    <row r="74" spans="1:10" ht="15.75" x14ac:dyDescent="0.25">
      <c r="A74" s="4" t="s">
        <v>4</v>
      </c>
      <c r="B74" s="25">
        <f>25/35*35</f>
        <v>25</v>
      </c>
      <c r="C74" s="31">
        <f>25/35*2.3</f>
        <v>1.6428571428571428</v>
      </c>
      <c r="D74" s="31">
        <f>25/35*0.4</f>
        <v>0.28571428571428575</v>
      </c>
      <c r="E74" s="31">
        <f>25/35*8.3</f>
        <v>5.9285714285714288</v>
      </c>
      <c r="F74" s="89">
        <f t="shared" si="44"/>
        <v>32.857142857142854</v>
      </c>
      <c r="G74" s="89">
        <f t="shared" si="45"/>
        <v>139.28571428571431</v>
      </c>
      <c r="H74" s="31">
        <v>0</v>
      </c>
      <c r="I74" s="89"/>
      <c r="J74" s="142"/>
    </row>
    <row r="75" spans="1:10" ht="15.75" x14ac:dyDescent="0.25">
      <c r="A75" s="4" t="s">
        <v>0</v>
      </c>
      <c r="B75" s="25">
        <f>25/35*35</f>
        <v>25</v>
      </c>
      <c r="C75" s="31">
        <f>25/35*2.7</f>
        <v>1.9285714285714288</v>
      </c>
      <c r="D75" s="31">
        <f>25/35*0.3</f>
        <v>0.21428571428571427</v>
      </c>
      <c r="E75" s="31">
        <f>25/35*17.2</f>
        <v>12.285714285714285</v>
      </c>
      <c r="F75" s="89">
        <f t="shared" si="44"/>
        <v>58.785714285714285</v>
      </c>
      <c r="G75" s="89">
        <f t="shared" si="45"/>
        <v>249.57142857142856</v>
      </c>
      <c r="H75" s="31">
        <v>0</v>
      </c>
      <c r="I75" s="89"/>
      <c r="J75" s="142"/>
    </row>
    <row r="76" spans="1:10" ht="16.5" thickBot="1" x14ac:dyDescent="0.3">
      <c r="A76" s="21" t="s">
        <v>1</v>
      </c>
      <c r="B76" s="32">
        <f>SUM(B70:B75)</f>
        <v>520</v>
      </c>
      <c r="C76" s="33">
        <f>SUM(C70:C75)</f>
        <v>18.188095238095237</v>
      </c>
      <c r="D76" s="33">
        <f>SUM(D70:D75)</f>
        <v>18.299999999999997</v>
      </c>
      <c r="E76" s="33">
        <f>SUM(E70:E75)</f>
        <v>61.539285714285718</v>
      </c>
      <c r="F76" s="151">
        <f>SUM(F70:F75)</f>
        <v>483.60952380952381</v>
      </c>
      <c r="G76" s="151">
        <f t="shared" ref="G76" si="46">SUM(G70:G75)</f>
        <v>2032.4654761904762</v>
      </c>
      <c r="H76" s="170">
        <f>SUM(H70:H75)</f>
        <v>32.981666666666669</v>
      </c>
      <c r="I76" s="151"/>
      <c r="J76" s="142"/>
    </row>
    <row r="77" spans="1:10" ht="15.75" x14ac:dyDescent="0.25">
      <c r="A77" s="71" t="s">
        <v>5</v>
      </c>
      <c r="B77" s="38"/>
      <c r="C77" s="38"/>
      <c r="D77" s="38"/>
      <c r="E77" s="38"/>
      <c r="F77" s="146"/>
      <c r="G77" s="146"/>
      <c r="H77" s="38"/>
      <c r="I77" s="99"/>
      <c r="J77" s="142"/>
    </row>
    <row r="78" spans="1:10" ht="15.75" x14ac:dyDescent="0.25">
      <c r="A78" s="4" t="s">
        <v>130</v>
      </c>
      <c r="B78" s="25" t="s">
        <v>167</v>
      </c>
      <c r="C78" s="26">
        <f>170/200*200/125*3.8</f>
        <v>5.1680000000000001</v>
      </c>
      <c r="D78" s="26">
        <f>170/200*200/125*7</f>
        <v>9.5200000000000014</v>
      </c>
      <c r="E78" s="26">
        <f>170/200*200/125*26.3</f>
        <v>35.768000000000001</v>
      </c>
      <c r="F78" s="89">
        <f t="shared" ref="F78:F81" si="47">(C78+E78)*4+D78*9</f>
        <v>249.42400000000001</v>
      </c>
      <c r="G78" s="89">
        <f t="shared" ref="G78:G81" si="48">(C78+E78)*17+D78*37</f>
        <v>1048.152</v>
      </c>
      <c r="H78" s="31">
        <f>170/200*170/200*150/130*9.76</f>
        <v>8.1364615384615391</v>
      </c>
      <c r="I78" s="96" t="s">
        <v>81</v>
      </c>
      <c r="J78" s="142"/>
    </row>
    <row r="79" spans="1:10" ht="15.75" x14ac:dyDescent="0.25">
      <c r="A79" s="4" t="s">
        <v>69</v>
      </c>
      <c r="B79" s="25">
        <v>50</v>
      </c>
      <c r="C79" s="26">
        <f>50/75*9.6*0.75</f>
        <v>4.8</v>
      </c>
      <c r="D79" s="26">
        <f>50/75*5*0.75</f>
        <v>2.5</v>
      </c>
      <c r="E79" s="26">
        <f>50/75*62.4*0.75</f>
        <v>31.199999999999996</v>
      </c>
      <c r="F79" s="89">
        <f t="shared" si="47"/>
        <v>166.49999999999997</v>
      </c>
      <c r="G79" s="89">
        <f t="shared" si="48"/>
        <v>704.49999999999989</v>
      </c>
      <c r="H79" s="46">
        <f>50/75*0.2</f>
        <v>0.13333333333333333</v>
      </c>
      <c r="I79" s="89" t="s">
        <v>81</v>
      </c>
    </row>
    <row r="80" spans="1:10" ht="15.75" x14ac:dyDescent="0.25">
      <c r="A80" s="4" t="s">
        <v>131</v>
      </c>
      <c r="B80" s="29">
        <f>150/180*180</f>
        <v>150</v>
      </c>
      <c r="C80" s="26">
        <v>0</v>
      </c>
      <c r="D80" s="26">
        <v>0</v>
      </c>
      <c r="E80" s="26">
        <f>150/180*16.9</f>
        <v>14.083333333333332</v>
      </c>
      <c r="F80" s="89">
        <f t="shared" si="47"/>
        <v>56.333333333333329</v>
      </c>
      <c r="G80" s="89">
        <f t="shared" si="48"/>
        <v>239.41666666666666</v>
      </c>
      <c r="H80" s="31">
        <f>150/180*1.4</f>
        <v>1.1666666666666667</v>
      </c>
      <c r="I80" s="96" t="s">
        <v>81</v>
      </c>
      <c r="J80" s="142"/>
    </row>
    <row r="81" spans="1:10" ht="15.75" x14ac:dyDescent="0.25">
      <c r="A81" s="4" t="s">
        <v>42</v>
      </c>
      <c r="B81" s="25">
        <v>35</v>
      </c>
      <c r="C81" s="61">
        <v>3</v>
      </c>
      <c r="D81" s="61">
        <v>0.5</v>
      </c>
      <c r="E81" s="61">
        <v>15.8</v>
      </c>
      <c r="F81" s="89">
        <f t="shared" si="47"/>
        <v>79.7</v>
      </c>
      <c r="G81" s="89">
        <f t="shared" si="48"/>
        <v>338.1</v>
      </c>
      <c r="H81" s="46">
        <v>0</v>
      </c>
      <c r="I81" s="106"/>
      <c r="J81" s="142"/>
    </row>
    <row r="82" spans="1:10" ht="16.5" thickBot="1" x14ac:dyDescent="0.3">
      <c r="A82" s="9" t="s">
        <v>1</v>
      </c>
      <c r="B82" s="27">
        <f>B81+B80+B79+170</f>
        <v>405</v>
      </c>
      <c r="C82" s="28">
        <f>SUM(C78:C81)</f>
        <v>12.968</v>
      </c>
      <c r="D82" s="28">
        <f>SUM(D78:D81)</f>
        <v>12.520000000000001</v>
      </c>
      <c r="E82" s="28">
        <f t="shared" ref="E82:H82" si="49">SUM(E78:E81)</f>
        <v>96.851333333333315</v>
      </c>
      <c r="F82" s="57">
        <f t="shared" si="49"/>
        <v>551.95733333333328</v>
      </c>
      <c r="G82" s="57">
        <f t="shared" si="49"/>
        <v>2330.1686666666669</v>
      </c>
      <c r="H82" s="28">
        <f t="shared" si="49"/>
        <v>9.436461538461538</v>
      </c>
      <c r="I82" s="89"/>
    </row>
    <row r="83" spans="1:10" ht="16.5" thickBot="1" x14ac:dyDescent="0.3">
      <c r="A83" s="53" t="s">
        <v>10</v>
      </c>
      <c r="B83" s="123">
        <f>B82+B76+B68+B65</f>
        <v>1370</v>
      </c>
      <c r="C83" s="55">
        <f>C82+C76+C68+C65</f>
        <v>48.131095238095234</v>
      </c>
      <c r="D83" s="55">
        <f t="shared" ref="D83:H83" si="50">D82+D76+D68+D65</f>
        <v>50.695</v>
      </c>
      <c r="E83" s="55">
        <f t="shared" si="50"/>
        <v>229.79061904761903</v>
      </c>
      <c r="F83" s="150">
        <f t="shared" si="50"/>
        <v>1567.9418571428571</v>
      </c>
      <c r="G83" s="150">
        <f t="shared" si="50"/>
        <v>6600.3841428571432</v>
      </c>
      <c r="H83" s="55">
        <f t="shared" si="50"/>
        <v>44.703128205128209</v>
      </c>
      <c r="I83" s="152"/>
      <c r="J83" s="142"/>
    </row>
    <row r="84" spans="1:10" ht="16.5" thickBot="1" x14ac:dyDescent="0.25">
      <c r="A84" s="178" t="s">
        <v>6</v>
      </c>
      <c r="B84" s="179">
        <v>4</v>
      </c>
      <c r="C84" s="18"/>
      <c r="D84" s="18"/>
      <c r="E84" s="18"/>
      <c r="F84" s="91"/>
      <c r="G84" s="91"/>
      <c r="H84" s="18"/>
      <c r="I84" s="180"/>
    </row>
    <row r="85" spans="1:10" ht="15.75" x14ac:dyDescent="0.2">
      <c r="A85" s="71" t="s">
        <v>21</v>
      </c>
      <c r="B85" s="38"/>
      <c r="C85" s="38"/>
      <c r="D85" s="38"/>
      <c r="E85" s="38"/>
      <c r="F85" s="146"/>
      <c r="G85" s="146"/>
      <c r="H85" s="38"/>
      <c r="I85" s="93"/>
    </row>
    <row r="86" spans="1:10" ht="15.75" x14ac:dyDescent="0.25">
      <c r="A86" s="4" t="s">
        <v>128</v>
      </c>
      <c r="B86" s="25">
        <f>150/200*200</f>
        <v>150</v>
      </c>
      <c r="C86" s="26">
        <v>4.5999999999999996</v>
      </c>
      <c r="D86" s="26">
        <v>6.2</v>
      </c>
      <c r="E86" s="26">
        <v>21.2</v>
      </c>
      <c r="F86" s="89">
        <f t="shared" ref="F86:F88" si="51">(C86+E86)*4+D86*9</f>
        <v>159</v>
      </c>
      <c r="G86" s="89">
        <f t="shared" ref="G86:G88" si="52">(C86+E86)*17+D86*37</f>
        <v>668</v>
      </c>
      <c r="H86" s="31">
        <f>150/200*0.9</f>
        <v>0.67500000000000004</v>
      </c>
      <c r="I86" s="89" t="s">
        <v>81</v>
      </c>
      <c r="J86" s="142"/>
    </row>
    <row r="87" spans="1:10" ht="15.75" x14ac:dyDescent="0.25">
      <c r="A87" s="4" t="s">
        <v>104</v>
      </c>
      <c r="B87" s="8" t="s">
        <v>53</v>
      </c>
      <c r="C87" s="6">
        <v>2.4</v>
      </c>
      <c r="D87" s="6">
        <v>7.5</v>
      </c>
      <c r="E87" s="6">
        <v>14.9</v>
      </c>
      <c r="F87" s="89">
        <f t="shared" si="51"/>
        <v>136.69999999999999</v>
      </c>
      <c r="G87" s="97">
        <f t="shared" si="52"/>
        <v>571.6</v>
      </c>
      <c r="H87" s="45">
        <v>0</v>
      </c>
      <c r="I87" s="96">
        <v>3</v>
      </c>
      <c r="J87" s="142"/>
    </row>
    <row r="88" spans="1:10" ht="15.75" x14ac:dyDescent="0.25">
      <c r="A88" s="4" t="s">
        <v>67</v>
      </c>
      <c r="B88" s="87" t="s">
        <v>176</v>
      </c>
      <c r="C88" s="6">
        <f>10/20*4.7</f>
        <v>2.35</v>
      </c>
      <c r="D88" s="6">
        <f>10/20*6</f>
        <v>3</v>
      </c>
      <c r="E88" s="6">
        <f>10/20*0.3</f>
        <v>0.15</v>
      </c>
      <c r="F88" s="89">
        <f t="shared" si="51"/>
        <v>37</v>
      </c>
      <c r="G88" s="97">
        <f t="shared" si="52"/>
        <v>153.5</v>
      </c>
      <c r="H88" s="45">
        <f>10/20*0.15</f>
        <v>7.4999999999999997E-2</v>
      </c>
      <c r="I88" s="96"/>
      <c r="J88" s="142"/>
    </row>
    <row r="89" spans="1:10" ht="15.75" x14ac:dyDescent="0.25">
      <c r="A89" s="4" t="s">
        <v>45</v>
      </c>
      <c r="B89" s="5">
        <f>150/200*200</f>
        <v>150</v>
      </c>
      <c r="C89" s="6">
        <v>2.2000000000000002</v>
      </c>
      <c r="D89" s="6">
        <f>150/200*2.5</f>
        <v>1.875</v>
      </c>
      <c r="E89" s="6">
        <v>13.3</v>
      </c>
      <c r="F89" s="129">
        <f t="shared" ref="F89" si="53">(C89+E89)*4+D89*9</f>
        <v>78.875</v>
      </c>
      <c r="G89" s="97">
        <f t="shared" ref="G89" si="54">(C89+E89)*17+D89*37</f>
        <v>332.875</v>
      </c>
      <c r="H89" s="13">
        <v>0.5</v>
      </c>
      <c r="I89" s="89" t="s">
        <v>81</v>
      </c>
      <c r="J89" s="142"/>
    </row>
    <row r="90" spans="1:10" ht="16.5" thickBot="1" x14ac:dyDescent="0.25">
      <c r="A90" s="9" t="s">
        <v>1</v>
      </c>
      <c r="B90" s="11">
        <f>B86+40+B88+B89</f>
        <v>350</v>
      </c>
      <c r="C90" s="11">
        <f>SUM(C86:C89)</f>
        <v>11.55</v>
      </c>
      <c r="D90" s="11">
        <f>SUM(D86:D89)</f>
        <v>18.574999999999999</v>
      </c>
      <c r="E90" s="11">
        <f>SUM(E86:E89)</f>
        <v>49.55</v>
      </c>
      <c r="F90" s="73">
        <f t="shared" ref="F90:H90" si="55">SUM(F86:F89)</f>
        <v>411.57499999999999</v>
      </c>
      <c r="G90" s="73">
        <f>SUM(G86:G89)</f>
        <v>1725.9749999999999</v>
      </c>
      <c r="H90" s="11">
        <f t="shared" si="55"/>
        <v>1.25</v>
      </c>
      <c r="I90" s="73"/>
      <c r="J90" s="142"/>
    </row>
    <row r="91" spans="1:10" ht="15.75" x14ac:dyDescent="0.2">
      <c r="A91" s="71" t="s">
        <v>35</v>
      </c>
      <c r="B91" s="38"/>
      <c r="C91" s="38"/>
      <c r="D91" s="38"/>
      <c r="E91" s="38"/>
      <c r="F91" s="146"/>
      <c r="G91" s="146"/>
      <c r="H91" s="38"/>
      <c r="I91" s="93"/>
    </row>
    <row r="92" spans="1:10" ht="15.75" x14ac:dyDescent="0.25">
      <c r="A92" s="4" t="s">
        <v>121</v>
      </c>
      <c r="B92" s="25">
        <v>150</v>
      </c>
      <c r="C92" s="26">
        <f>150/180*1.8*0.7</f>
        <v>1.0499999999999998</v>
      </c>
      <c r="D92" s="26">
        <f>150/180*1.8*0.1</f>
        <v>0.15000000000000002</v>
      </c>
      <c r="E92" s="26">
        <f>150/180*1.8*13.2</f>
        <v>19.799999999999997</v>
      </c>
      <c r="F92" s="89">
        <f t="shared" ref="F92" si="56">(C92+E92)*4+D92*9</f>
        <v>84.749999999999986</v>
      </c>
      <c r="G92" s="97">
        <f t="shared" ref="G92" si="57">(C92+E92)*17+D92*37</f>
        <v>360</v>
      </c>
      <c r="H92" s="31">
        <f>150/180*40</f>
        <v>33.333333333333336</v>
      </c>
      <c r="I92" s="94">
        <v>399</v>
      </c>
      <c r="J92" s="142"/>
    </row>
    <row r="93" spans="1:10" ht="16.5" thickBot="1" x14ac:dyDescent="0.25">
      <c r="A93" s="19" t="s">
        <v>1</v>
      </c>
      <c r="B93" s="16">
        <f>B92</f>
        <v>150</v>
      </c>
      <c r="C93" s="20">
        <f>C92</f>
        <v>1.0499999999999998</v>
      </c>
      <c r="D93" s="20">
        <f t="shared" ref="D93:H93" si="58">D92</f>
        <v>0.15000000000000002</v>
      </c>
      <c r="E93" s="20">
        <f t="shared" si="58"/>
        <v>19.799999999999997</v>
      </c>
      <c r="F93" s="95">
        <f t="shared" si="58"/>
        <v>84.749999999999986</v>
      </c>
      <c r="G93" s="95">
        <f t="shared" si="58"/>
        <v>360</v>
      </c>
      <c r="H93" s="20">
        <f t="shared" si="58"/>
        <v>33.333333333333336</v>
      </c>
      <c r="I93" s="95"/>
    </row>
    <row r="94" spans="1:10" ht="15.75" x14ac:dyDescent="0.2">
      <c r="A94" s="71" t="s">
        <v>3</v>
      </c>
      <c r="B94" s="38"/>
      <c r="C94" s="38"/>
      <c r="D94" s="38"/>
      <c r="E94" s="38"/>
      <c r="F94" s="146"/>
      <c r="G94" s="146"/>
      <c r="H94" s="38"/>
      <c r="I94" s="93"/>
    </row>
    <row r="95" spans="1:10" ht="15.75" x14ac:dyDescent="0.2">
      <c r="A95" s="4" t="s">
        <v>43</v>
      </c>
      <c r="B95" s="5">
        <v>150</v>
      </c>
      <c r="C95" s="6">
        <f>150/200*8</f>
        <v>6</v>
      </c>
      <c r="D95" s="6">
        <f>150/200*2.4</f>
        <v>1.7999999999999998</v>
      </c>
      <c r="E95" s="6">
        <f>150/200*10.8</f>
        <v>8.1000000000000014</v>
      </c>
      <c r="F95" s="97">
        <f>(C95+E95)*4+D95*9</f>
        <v>72.600000000000009</v>
      </c>
      <c r="G95" s="97">
        <f t="shared" ref="G95" si="59">(C95+E95)*17+D95*37</f>
        <v>306.3</v>
      </c>
      <c r="H95" s="13">
        <f>150/200*7.6</f>
        <v>5.6999999999999993</v>
      </c>
      <c r="I95" s="97" t="s">
        <v>81</v>
      </c>
      <c r="J95" s="142"/>
    </row>
    <row r="96" spans="1:10" ht="15.75" x14ac:dyDescent="0.2">
      <c r="A96" s="4" t="s">
        <v>116</v>
      </c>
      <c r="B96" s="97">
        <v>100</v>
      </c>
      <c r="C96" s="6">
        <f>100/120*15.8</f>
        <v>13.166666666666668</v>
      </c>
      <c r="D96" s="6">
        <f>100/120*4.5</f>
        <v>3.75</v>
      </c>
      <c r="E96" s="6">
        <f>100/120*4.1</f>
        <v>3.4166666666666665</v>
      </c>
      <c r="F96" s="97">
        <f>(C96+E96)*4+D96*9</f>
        <v>100.08333333333334</v>
      </c>
      <c r="G96" s="97">
        <f>(C96+E96)*17+D96*37</f>
        <v>420.66666666666669</v>
      </c>
      <c r="H96" s="13">
        <f>100/120*4.3</f>
        <v>3.5833333333333335</v>
      </c>
      <c r="I96" s="94" t="s">
        <v>81</v>
      </c>
      <c r="J96" s="177"/>
    </row>
    <row r="97" spans="1:10" ht="15.75" x14ac:dyDescent="0.25">
      <c r="A97" s="4" t="s">
        <v>110</v>
      </c>
      <c r="B97" s="42">
        <f>80/100*100</f>
        <v>80</v>
      </c>
      <c r="C97" s="43">
        <f>80/100*100/150*5.9</f>
        <v>3.1466666666666669</v>
      </c>
      <c r="D97" s="43">
        <f>80/100*100/150*3.9</f>
        <v>2.08</v>
      </c>
      <c r="E97" s="43">
        <f>80/100*100/150*37.1</f>
        <v>19.786666666666669</v>
      </c>
      <c r="F97" s="89">
        <f t="shared" ref="F97:F98" si="60">(C97+E97)*4+D97*9</f>
        <v>110.45333333333335</v>
      </c>
      <c r="G97" s="89">
        <f t="shared" ref="G97:G98" si="61">(C97+E97)*17+D97*37</f>
        <v>466.82666666666671</v>
      </c>
      <c r="H97" s="13">
        <v>0</v>
      </c>
      <c r="I97" s="97">
        <v>205</v>
      </c>
      <c r="J97" s="142"/>
    </row>
    <row r="98" spans="1:10" ht="15.75" x14ac:dyDescent="0.25">
      <c r="A98" s="4" t="s">
        <v>156</v>
      </c>
      <c r="B98" s="42">
        <v>150</v>
      </c>
      <c r="C98" s="6">
        <f>150/180*0.3</f>
        <v>0.25</v>
      </c>
      <c r="D98" s="6">
        <f>150/180*0.1</f>
        <v>8.3333333333333343E-2</v>
      </c>
      <c r="E98" s="6">
        <f>150/180*21.1</f>
        <v>17.583333333333336</v>
      </c>
      <c r="F98" s="97">
        <f t="shared" si="60"/>
        <v>72.083333333333343</v>
      </c>
      <c r="G98" s="97">
        <f t="shared" si="61"/>
        <v>306.25</v>
      </c>
      <c r="H98" s="45">
        <f>150/180*1.1</f>
        <v>0.91666666666666674</v>
      </c>
      <c r="I98" s="89">
        <v>376</v>
      </c>
      <c r="J98" s="142"/>
    </row>
    <row r="99" spans="1:10" ht="15.75" x14ac:dyDescent="0.2">
      <c r="A99" s="4" t="s">
        <v>4</v>
      </c>
      <c r="B99" s="5">
        <f>25/35*35</f>
        <v>25</v>
      </c>
      <c r="C99" s="13">
        <f>25/35*2.3</f>
        <v>1.6428571428571428</v>
      </c>
      <c r="D99" s="13">
        <f>25/35*0.4</f>
        <v>0.28571428571428575</v>
      </c>
      <c r="E99" s="13">
        <f>25/35*8.3</f>
        <v>5.9285714285714288</v>
      </c>
      <c r="F99" s="97">
        <f t="shared" ref="F99:F100" si="62">(C99+E99)*4+D99*9</f>
        <v>32.857142857142854</v>
      </c>
      <c r="G99" s="97">
        <f t="shared" ref="G99:G100" si="63">(C99+E99)*17+D99*37</f>
        <v>139.28571428571431</v>
      </c>
      <c r="H99" s="13">
        <v>0</v>
      </c>
      <c r="I99" s="97"/>
      <c r="J99" s="142"/>
    </row>
    <row r="100" spans="1:10" ht="15.75" x14ac:dyDescent="0.2">
      <c r="A100" s="4" t="s">
        <v>0</v>
      </c>
      <c r="B100" s="5">
        <f>25/35*35</f>
        <v>25</v>
      </c>
      <c r="C100" s="13">
        <f>25/35*2.7</f>
        <v>1.9285714285714288</v>
      </c>
      <c r="D100" s="13">
        <f>25/35*0.3</f>
        <v>0.21428571428571427</v>
      </c>
      <c r="E100" s="13">
        <f>25/35*17.2</f>
        <v>12.285714285714285</v>
      </c>
      <c r="F100" s="97">
        <f t="shared" si="62"/>
        <v>58.785714285714285</v>
      </c>
      <c r="G100" s="97">
        <f t="shared" si="63"/>
        <v>249.57142857142856</v>
      </c>
      <c r="H100" s="13">
        <v>0</v>
      </c>
      <c r="I100" s="97"/>
      <c r="J100" s="142"/>
    </row>
    <row r="101" spans="1:10" ht="16.5" thickBot="1" x14ac:dyDescent="0.25">
      <c r="A101" s="21" t="s">
        <v>1</v>
      </c>
      <c r="B101" s="173">
        <f t="shared" ref="B101:H101" si="64">SUM(B95:B100)</f>
        <v>530</v>
      </c>
      <c r="C101" s="22">
        <f t="shared" si="64"/>
        <v>26.134761904761909</v>
      </c>
      <c r="D101" s="22">
        <f t="shared" si="64"/>
        <v>8.2133333333333329</v>
      </c>
      <c r="E101" s="22">
        <f t="shared" si="64"/>
        <v>67.100952380952378</v>
      </c>
      <c r="F101" s="98">
        <f t="shared" si="64"/>
        <v>446.86285714285714</v>
      </c>
      <c r="G101" s="98">
        <f t="shared" si="64"/>
        <v>1888.9004761904762</v>
      </c>
      <c r="H101" s="22">
        <f t="shared" si="64"/>
        <v>10.199999999999999</v>
      </c>
      <c r="I101" s="98"/>
      <c r="J101" s="142"/>
    </row>
    <row r="102" spans="1:10" ht="15.75" x14ac:dyDescent="0.2">
      <c r="A102" s="71" t="s">
        <v>5</v>
      </c>
      <c r="B102" s="38"/>
      <c r="C102" s="38"/>
      <c r="D102" s="38"/>
      <c r="E102" s="38"/>
      <c r="F102" s="146"/>
      <c r="G102" s="146"/>
      <c r="H102" s="38"/>
      <c r="I102" s="93"/>
      <c r="J102" s="142"/>
    </row>
    <row r="103" spans="1:10" ht="15.75" x14ac:dyDescent="0.25">
      <c r="A103" s="4" t="s">
        <v>84</v>
      </c>
      <c r="B103" s="25">
        <f>30/50*50</f>
        <v>30</v>
      </c>
      <c r="C103" s="26">
        <v>0.7</v>
      </c>
      <c r="D103" s="26">
        <v>1.6</v>
      </c>
      <c r="E103" s="26">
        <v>2.9</v>
      </c>
      <c r="F103" s="89">
        <f>(C103+E103)*4+D103*9</f>
        <v>28.799999999999997</v>
      </c>
      <c r="G103" s="89">
        <f>(C103+E103)*17+D103*37</f>
        <v>120.4</v>
      </c>
      <c r="H103" s="31">
        <v>3.6</v>
      </c>
      <c r="I103" s="97">
        <v>25</v>
      </c>
      <c r="J103" s="142"/>
    </row>
    <row r="104" spans="1:10" ht="31.5" x14ac:dyDescent="0.25">
      <c r="A104" s="4" t="s">
        <v>72</v>
      </c>
      <c r="B104" s="25" t="s">
        <v>168</v>
      </c>
      <c r="C104" s="26">
        <v>6.8</v>
      </c>
      <c r="D104" s="26">
        <v>5.0999999999999996</v>
      </c>
      <c r="E104" s="26">
        <v>55.2</v>
      </c>
      <c r="F104" s="89">
        <f t="shared" ref="F104:F107" si="65">(C104+E104)*4+D104*9</f>
        <v>293.89999999999998</v>
      </c>
      <c r="G104" s="89">
        <f t="shared" ref="G104:G107" si="66">(C104+E104)*17+D104*37</f>
        <v>1242.7</v>
      </c>
      <c r="H104" s="31">
        <f>190/230*1.1</f>
        <v>0.90869565217391313</v>
      </c>
      <c r="I104" s="89" t="s">
        <v>81</v>
      </c>
    </row>
    <row r="105" spans="1:10" ht="15.75" x14ac:dyDescent="0.25">
      <c r="A105" s="56" t="s">
        <v>141</v>
      </c>
      <c r="B105" s="59">
        <v>10</v>
      </c>
      <c r="C105" s="72">
        <f>15/20*0.2*5.21</f>
        <v>0.78150000000000008</v>
      </c>
      <c r="D105" s="72">
        <f>15/20*0.2*37.85</f>
        <v>5.6775000000000011</v>
      </c>
      <c r="E105" s="72">
        <f>15/20*0.2*54.38</f>
        <v>8.1570000000000018</v>
      </c>
      <c r="F105" s="89">
        <f t="shared" si="65"/>
        <v>86.851500000000016</v>
      </c>
      <c r="G105" s="89">
        <f t="shared" si="66"/>
        <v>362.02200000000005</v>
      </c>
      <c r="H105" s="132">
        <v>0</v>
      </c>
      <c r="I105" s="97"/>
      <c r="J105" s="142"/>
    </row>
    <row r="106" spans="1:10" ht="15.75" x14ac:dyDescent="0.25">
      <c r="A106" s="4" t="s">
        <v>66</v>
      </c>
      <c r="B106" s="25">
        <f>150/200*200</f>
        <v>150</v>
      </c>
      <c r="C106" s="26">
        <v>0</v>
      </c>
      <c r="D106" s="26">
        <v>0</v>
      </c>
      <c r="E106" s="26">
        <v>9.8000000000000007</v>
      </c>
      <c r="F106" s="89">
        <f t="shared" si="65"/>
        <v>39.200000000000003</v>
      </c>
      <c r="G106" s="89">
        <f t="shared" si="66"/>
        <v>166.60000000000002</v>
      </c>
      <c r="H106" s="31">
        <v>0</v>
      </c>
      <c r="I106" s="97" t="s">
        <v>81</v>
      </c>
    </row>
    <row r="107" spans="1:10" ht="17.25" customHeight="1" x14ac:dyDescent="0.25">
      <c r="A107" s="4" t="s">
        <v>0</v>
      </c>
      <c r="B107" s="5">
        <f>25/35*35</f>
        <v>25</v>
      </c>
      <c r="C107" s="6">
        <f>25/35*3</f>
        <v>2.1428571428571428</v>
      </c>
      <c r="D107" s="6">
        <f>25/35*0.5</f>
        <v>0.35714285714285715</v>
      </c>
      <c r="E107" s="6">
        <f>25/35*15.8</f>
        <v>11.285714285714286</v>
      </c>
      <c r="F107" s="89">
        <f t="shared" si="65"/>
        <v>56.928571428571431</v>
      </c>
      <c r="G107" s="89">
        <f t="shared" si="66"/>
        <v>241.5</v>
      </c>
      <c r="H107" s="13">
        <v>0</v>
      </c>
      <c r="I107" s="97">
        <v>392</v>
      </c>
    </row>
    <row r="108" spans="1:10" ht="16.5" thickBot="1" x14ac:dyDescent="0.25">
      <c r="A108" s="9" t="s">
        <v>1</v>
      </c>
      <c r="B108" s="10">
        <f>B103+B105+B106+B107+190</f>
        <v>405</v>
      </c>
      <c r="C108" s="11">
        <f>SUM(C103:C107)</f>
        <v>10.424357142857142</v>
      </c>
      <c r="D108" s="11">
        <f t="shared" ref="D108:H108" si="67">SUM(D103:D107)</f>
        <v>12.734642857142859</v>
      </c>
      <c r="E108" s="11">
        <f>SUM(E103:E107)</f>
        <v>87.342714285714294</v>
      </c>
      <c r="F108" s="73">
        <f t="shared" si="67"/>
        <v>505.68007142857147</v>
      </c>
      <c r="G108" s="73">
        <f t="shared" si="67"/>
        <v>2133.2220000000002</v>
      </c>
      <c r="H108" s="11">
        <f t="shared" si="67"/>
        <v>4.5086956521739134</v>
      </c>
      <c r="I108" s="73"/>
    </row>
    <row r="109" spans="1:10" ht="16.5" thickBot="1" x14ac:dyDescent="0.25">
      <c r="A109" s="53" t="s">
        <v>10</v>
      </c>
      <c r="B109" s="54">
        <f>B108+B101+B93+B90</f>
        <v>1435</v>
      </c>
      <c r="C109" s="54">
        <f t="shared" ref="C109:H109" si="68">C90+C101+C108+C93</f>
        <v>49.15911904761905</v>
      </c>
      <c r="D109" s="54">
        <f t="shared" si="68"/>
        <v>39.672976190476192</v>
      </c>
      <c r="E109" s="54">
        <f t="shared" si="68"/>
        <v>223.7936666666667</v>
      </c>
      <c r="F109" s="60">
        <f t="shared" si="68"/>
        <v>1448.8679285714286</v>
      </c>
      <c r="G109" s="60">
        <f t="shared" si="68"/>
        <v>6108.0974761904763</v>
      </c>
      <c r="H109" s="54">
        <f t="shared" si="68"/>
        <v>49.292028985507244</v>
      </c>
      <c r="I109" s="101"/>
    </row>
    <row r="110" spans="1:10" ht="16.5" thickBot="1" x14ac:dyDescent="0.25">
      <c r="A110" s="178" t="s">
        <v>6</v>
      </c>
      <c r="B110" s="179">
        <v>5</v>
      </c>
      <c r="C110" s="18"/>
      <c r="D110" s="18"/>
      <c r="E110" s="18"/>
      <c r="F110" s="91"/>
      <c r="G110" s="91"/>
      <c r="H110" s="18"/>
      <c r="I110" s="180"/>
    </row>
    <row r="111" spans="1:10" ht="15.75" x14ac:dyDescent="0.2">
      <c r="A111" s="71" t="s">
        <v>21</v>
      </c>
      <c r="B111" s="38"/>
      <c r="C111" s="38"/>
      <c r="D111" s="38"/>
      <c r="E111" s="38"/>
      <c r="F111" s="146"/>
      <c r="G111" s="146"/>
      <c r="H111" s="38"/>
      <c r="I111" s="93"/>
      <c r="J111" s="142"/>
    </row>
    <row r="112" spans="1:10" ht="15.75" x14ac:dyDescent="0.2">
      <c r="A112" s="4" t="s">
        <v>109</v>
      </c>
      <c r="B112" s="44">
        <v>150</v>
      </c>
      <c r="C112" s="44">
        <v>5</v>
      </c>
      <c r="D112" s="44">
        <v>6.2</v>
      </c>
      <c r="E112" s="44">
        <v>21.1</v>
      </c>
      <c r="F112" s="129">
        <f t="shared" ref="F112:F113" si="69">(C112+E112)*4+D112*9</f>
        <v>160.20000000000002</v>
      </c>
      <c r="G112" s="97">
        <f t="shared" ref="G112:G113" si="70">(C112+E112)*17+D112*37</f>
        <v>673.1</v>
      </c>
      <c r="H112" s="13">
        <v>0.7</v>
      </c>
      <c r="I112" s="97">
        <v>185</v>
      </c>
      <c r="J112" s="142"/>
    </row>
    <row r="113" spans="1:10" ht="15.75" x14ac:dyDescent="0.25">
      <c r="A113" s="4" t="s">
        <v>56</v>
      </c>
      <c r="B113" s="8" t="s">
        <v>53</v>
      </c>
      <c r="C113" s="6">
        <v>2.4</v>
      </c>
      <c r="D113" s="6">
        <v>7.5</v>
      </c>
      <c r="E113" s="6">
        <v>14.9</v>
      </c>
      <c r="F113" s="89">
        <f t="shared" si="69"/>
        <v>136.69999999999999</v>
      </c>
      <c r="G113" s="97">
        <f t="shared" si="70"/>
        <v>571.6</v>
      </c>
      <c r="H113" s="13">
        <v>0</v>
      </c>
      <c r="I113" s="97">
        <v>1</v>
      </c>
    </row>
    <row r="114" spans="1:10" ht="15.75" x14ac:dyDescent="0.25">
      <c r="A114" s="4" t="s">
        <v>17</v>
      </c>
      <c r="B114" s="5">
        <f>150/200*200</f>
        <v>150</v>
      </c>
      <c r="C114" s="6">
        <v>3.4</v>
      </c>
      <c r="D114" s="6">
        <v>2.9</v>
      </c>
      <c r="E114" s="6">
        <v>15.3</v>
      </c>
      <c r="F114" s="89">
        <f t="shared" ref="F114" si="71">(C114+E114)*4+D114*9</f>
        <v>100.89999999999999</v>
      </c>
      <c r="G114" s="97">
        <f t="shared" ref="G114" si="72">(C114+E114)*17+D114*37</f>
        <v>425.2</v>
      </c>
      <c r="H114" s="13">
        <v>0.7</v>
      </c>
      <c r="I114" s="97" t="s">
        <v>81</v>
      </c>
      <c r="J114" s="142"/>
    </row>
    <row r="115" spans="1:10" ht="16.5" thickBot="1" x14ac:dyDescent="0.3">
      <c r="A115" s="9" t="s">
        <v>1</v>
      </c>
      <c r="B115" s="28">
        <f>B112+B114+40</f>
        <v>340</v>
      </c>
      <c r="C115" s="28">
        <f t="shared" ref="C115:H115" si="73">SUM(C112:C114)</f>
        <v>10.8</v>
      </c>
      <c r="D115" s="28">
        <f t="shared" si="73"/>
        <v>16.599999999999998</v>
      </c>
      <c r="E115" s="28">
        <f t="shared" si="73"/>
        <v>51.3</v>
      </c>
      <c r="F115" s="57">
        <f t="shared" si="73"/>
        <v>397.79999999999995</v>
      </c>
      <c r="G115" s="57">
        <f t="shared" si="73"/>
        <v>1669.9</v>
      </c>
      <c r="H115" s="28">
        <f t="shared" si="73"/>
        <v>1.4</v>
      </c>
      <c r="I115" s="73"/>
    </row>
    <row r="116" spans="1:10" ht="15.75" x14ac:dyDescent="0.2">
      <c r="A116" s="71" t="s">
        <v>35</v>
      </c>
      <c r="B116" s="38"/>
      <c r="C116" s="38"/>
      <c r="D116" s="38"/>
      <c r="E116" s="38"/>
      <c r="F116" s="146"/>
      <c r="G116" s="146"/>
      <c r="H116" s="38"/>
      <c r="I116" s="93"/>
      <c r="J116" s="142"/>
    </row>
    <row r="117" spans="1:10" ht="15.75" x14ac:dyDescent="0.25">
      <c r="A117" s="4" t="s">
        <v>38</v>
      </c>
      <c r="B117" s="5">
        <v>100</v>
      </c>
      <c r="C117" s="6">
        <v>1.5</v>
      </c>
      <c r="D117" s="6">
        <v>0.5</v>
      </c>
      <c r="E117" s="6">
        <v>21</v>
      </c>
      <c r="F117" s="89">
        <f t="shared" ref="F117" si="74">(C117+E117)*4+D117*9</f>
        <v>94.5</v>
      </c>
      <c r="G117" s="97">
        <f t="shared" ref="G117" si="75">(C117+E117)*17+D117*37</f>
        <v>401</v>
      </c>
      <c r="H117" s="13">
        <v>10</v>
      </c>
      <c r="I117" s="97">
        <v>368</v>
      </c>
    </row>
    <row r="118" spans="1:10" ht="16.5" thickBot="1" x14ac:dyDescent="0.25">
      <c r="A118" s="19" t="s">
        <v>1</v>
      </c>
      <c r="B118" s="16">
        <f t="shared" ref="B118:H118" si="76">SUM(B117:B117)</f>
        <v>100</v>
      </c>
      <c r="C118" s="20">
        <f t="shared" si="76"/>
        <v>1.5</v>
      </c>
      <c r="D118" s="20">
        <f t="shared" si="76"/>
        <v>0.5</v>
      </c>
      <c r="E118" s="20">
        <f t="shared" si="76"/>
        <v>21</v>
      </c>
      <c r="F118" s="95">
        <f t="shared" si="76"/>
        <v>94.5</v>
      </c>
      <c r="G118" s="95">
        <f t="shared" si="76"/>
        <v>401</v>
      </c>
      <c r="H118" s="16">
        <f t="shared" si="76"/>
        <v>10</v>
      </c>
      <c r="I118" s="95"/>
    </row>
    <row r="119" spans="1:10" ht="15.75" x14ac:dyDescent="0.2">
      <c r="A119" s="71" t="s">
        <v>3</v>
      </c>
      <c r="B119" s="38"/>
      <c r="C119" s="38"/>
      <c r="D119" s="38"/>
      <c r="E119" s="38"/>
      <c r="F119" s="146"/>
      <c r="G119" s="146"/>
      <c r="H119" s="38"/>
      <c r="I119" s="93"/>
      <c r="J119" s="142"/>
    </row>
    <row r="120" spans="1:10" ht="15.75" x14ac:dyDescent="0.25">
      <c r="A120" s="24" t="s">
        <v>132</v>
      </c>
      <c r="B120" s="25">
        <v>50</v>
      </c>
      <c r="C120" s="88">
        <f>14.7/20</f>
        <v>0.73499999999999999</v>
      </c>
      <c r="D120" s="88">
        <f>1.2/20</f>
        <v>0.06</v>
      </c>
      <c r="E120" s="88">
        <f>153.4/20</f>
        <v>7.67</v>
      </c>
      <c r="F120" s="106">
        <f t="shared" ref="F120" si="77">(C120+E120)*4+D120*9</f>
        <v>34.159999999999997</v>
      </c>
      <c r="G120" s="106">
        <f t="shared" ref="G120" si="78">(C120+E120)*17+D120*37</f>
        <v>145.10499999999999</v>
      </c>
      <c r="H120" s="31">
        <f>45/20</f>
        <v>2.25</v>
      </c>
      <c r="I120" s="106">
        <v>42</v>
      </c>
      <c r="J120" s="142"/>
    </row>
    <row r="121" spans="1:10" ht="31.5" x14ac:dyDescent="0.25">
      <c r="A121" s="24" t="s">
        <v>90</v>
      </c>
      <c r="B121" s="25">
        <v>150</v>
      </c>
      <c r="C121" s="88">
        <f>150/200*1.6</f>
        <v>1.2000000000000002</v>
      </c>
      <c r="D121" s="88">
        <f>150/200*3.4</f>
        <v>2.5499999999999998</v>
      </c>
      <c r="E121" s="88">
        <f>150/200*8</f>
        <v>6</v>
      </c>
      <c r="F121" s="106">
        <f t="shared" ref="F121:F124" si="79">(C121+E121)*4+D121*9</f>
        <v>51.75</v>
      </c>
      <c r="G121" s="106">
        <f t="shared" ref="G121:G124" si="80">(C121+E121)*17+D121*37</f>
        <v>216.75</v>
      </c>
      <c r="H121" s="31">
        <f>150/200*13.4</f>
        <v>10.050000000000001</v>
      </c>
      <c r="I121" s="106" t="s">
        <v>81</v>
      </c>
      <c r="J121" s="142"/>
    </row>
    <row r="122" spans="1:10" ht="15.75" x14ac:dyDescent="0.25">
      <c r="A122" s="4" t="s">
        <v>152</v>
      </c>
      <c r="B122" s="25" t="s">
        <v>164</v>
      </c>
      <c r="C122" s="26">
        <f>43/55*10.4</f>
        <v>8.1309090909090909</v>
      </c>
      <c r="D122" s="26">
        <f>43/55*15.8</f>
        <v>12.352727272727273</v>
      </c>
      <c r="E122" s="26">
        <f>43/55*3.2</f>
        <v>2.5018181818181819</v>
      </c>
      <c r="F122" s="89">
        <f t="shared" si="79"/>
        <v>153.70545454545456</v>
      </c>
      <c r="G122" s="89">
        <f t="shared" si="80"/>
        <v>637.80727272727268</v>
      </c>
      <c r="H122" s="46">
        <v>0</v>
      </c>
      <c r="I122" s="89" t="s">
        <v>81</v>
      </c>
      <c r="J122" s="142"/>
    </row>
    <row r="123" spans="1:10" ht="15.75" x14ac:dyDescent="0.25">
      <c r="A123" s="4" t="s">
        <v>113</v>
      </c>
      <c r="B123" s="25">
        <v>100</v>
      </c>
      <c r="C123" s="88">
        <f>100/120*4.4*1.2</f>
        <v>4.4000000000000004</v>
      </c>
      <c r="D123" s="88">
        <f>100/120*3.818*1.2</f>
        <v>3.8179999999999996</v>
      </c>
      <c r="E123" s="88">
        <f>100/120*24.564*1.2</f>
        <v>24.564000000000004</v>
      </c>
      <c r="F123" s="89">
        <f t="shared" si="79"/>
        <v>150.21800000000002</v>
      </c>
      <c r="G123" s="89">
        <f t="shared" si="80"/>
        <v>633.65400000000011</v>
      </c>
      <c r="H123" s="31">
        <v>0</v>
      </c>
      <c r="I123" s="89">
        <v>313</v>
      </c>
      <c r="J123" s="142"/>
    </row>
    <row r="124" spans="1:10" ht="15.75" x14ac:dyDescent="0.25">
      <c r="A124" s="4" t="s">
        <v>115</v>
      </c>
      <c r="B124" s="42">
        <f>150/180*180</f>
        <v>150</v>
      </c>
      <c r="C124" s="6">
        <v>0</v>
      </c>
      <c r="D124" s="6">
        <v>0</v>
      </c>
      <c r="E124" s="6">
        <f>150/180*16.9</f>
        <v>14.083333333333332</v>
      </c>
      <c r="F124" s="89">
        <f t="shared" si="79"/>
        <v>56.333333333333329</v>
      </c>
      <c r="G124" s="89">
        <f t="shared" si="80"/>
        <v>239.41666666666666</v>
      </c>
      <c r="H124" s="127">
        <f>150/180*1.4</f>
        <v>1.1666666666666667</v>
      </c>
      <c r="I124" s="94" t="s">
        <v>81</v>
      </c>
      <c r="J124" s="142"/>
    </row>
    <row r="125" spans="1:10" ht="15.75" x14ac:dyDescent="0.25">
      <c r="A125" s="4" t="s">
        <v>4</v>
      </c>
      <c r="B125" s="25">
        <f>25/35*35</f>
        <v>25</v>
      </c>
      <c r="C125" s="31">
        <f>25/35*2.3</f>
        <v>1.6428571428571428</v>
      </c>
      <c r="D125" s="31">
        <f>25/35*0.4</f>
        <v>0.28571428571428575</v>
      </c>
      <c r="E125" s="31">
        <f>25/35*8.3</f>
        <v>5.9285714285714288</v>
      </c>
      <c r="F125" s="106">
        <f t="shared" ref="F125:F126" si="81">(C125+E125)*4+D125*9</f>
        <v>32.857142857142854</v>
      </c>
      <c r="G125" s="106">
        <f t="shared" ref="G125:G126" si="82">(C125+E125)*17+D125*37</f>
        <v>139.28571428571431</v>
      </c>
      <c r="H125" s="31">
        <v>0</v>
      </c>
      <c r="I125" s="89"/>
      <c r="J125" s="142"/>
    </row>
    <row r="126" spans="1:10" ht="15.75" x14ac:dyDescent="0.25">
      <c r="A126" s="4" t="s">
        <v>0</v>
      </c>
      <c r="B126" s="25">
        <f>25/35*35</f>
        <v>25</v>
      </c>
      <c r="C126" s="31">
        <f>25/35*2.7</f>
        <v>1.9285714285714288</v>
      </c>
      <c r="D126" s="31">
        <f>25/35*0.3</f>
        <v>0.21428571428571427</v>
      </c>
      <c r="E126" s="31">
        <f>25/35*17.2</f>
        <v>12.285714285714285</v>
      </c>
      <c r="F126" s="106">
        <f t="shared" si="81"/>
        <v>58.785714285714285</v>
      </c>
      <c r="G126" s="106">
        <f t="shared" si="82"/>
        <v>249.57142857142856</v>
      </c>
      <c r="H126" s="31">
        <v>0</v>
      </c>
      <c r="I126" s="89"/>
      <c r="J126" s="142"/>
    </row>
    <row r="127" spans="1:10" ht="16.5" thickBot="1" x14ac:dyDescent="0.3">
      <c r="A127" s="21" t="s">
        <v>1</v>
      </c>
      <c r="B127" s="171">
        <f>B120+B121+60+B123+B124+B125+B126</f>
        <v>560</v>
      </c>
      <c r="C127" s="33">
        <f>SUM(C120:C126)</f>
        <v>18.037337662337663</v>
      </c>
      <c r="D127" s="33">
        <f t="shared" ref="D127:E127" si="83">SUM(D120:D126)</f>
        <v>19.280727272727272</v>
      </c>
      <c r="E127" s="33">
        <f t="shared" si="83"/>
        <v>73.033437229437226</v>
      </c>
      <c r="F127" s="151">
        <f>SUM(F120:F126)</f>
        <v>537.809645021645</v>
      </c>
      <c r="G127" s="151">
        <f t="shared" ref="G127" si="84">SUM(G120:G126)</f>
        <v>2261.5900822510825</v>
      </c>
      <c r="H127" s="33">
        <f t="shared" ref="H127" si="85">SUM(H120:H126)</f>
        <v>13.466666666666667</v>
      </c>
      <c r="I127" s="151"/>
    </row>
    <row r="128" spans="1:10" ht="15.75" x14ac:dyDescent="0.2">
      <c r="A128" s="71" t="s">
        <v>5</v>
      </c>
      <c r="B128" s="38"/>
      <c r="C128" s="38"/>
      <c r="D128" s="38"/>
      <c r="E128" s="38"/>
      <c r="F128" s="146"/>
      <c r="G128" s="146"/>
      <c r="H128" s="38"/>
      <c r="I128" s="93"/>
    </row>
    <row r="129" spans="1:10" ht="15.75" x14ac:dyDescent="0.25">
      <c r="A129" s="14" t="s">
        <v>120</v>
      </c>
      <c r="B129" s="25">
        <f>30/50*50</f>
        <v>30</v>
      </c>
      <c r="C129" s="61">
        <f>30/50*8.2</f>
        <v>4.919999999999999</v>
      </c>
      <c r="D129" s="61">
        <f>30/50*0.55</f>
        <v>0.33</v>
      </c>
      <c r="E129" s="61">
        <f>30/50*0.1</f>
        <v>0.06</v>
      </c>
      <c r="F129" s="89">
        <f t="shared" ref="F129:F130" si="86">(C129+E129)*4+D129*9</f>
        <v>22.889999999999993</v>
      </c>
      <c r="G129" s="89">
        <f t="shared" ref="G129:G130" si="87">(C129+E129)*17+D129*37</f>
        <v>96.869999999999976</v>
      </c>
      <c r="H129" s="46">
        <v>0</v>
      </c>
      <c r="I129" s="96" t="s">
        <v>81</v>
      </c>
      <c r="J129" s="142"/>
    </row>
    <row r="130" spans="1:10" ht="15.75" x14ac:dyDescent="0.25">
      <c r="A130" s="14" t="s">
        <v>119</v>
      </c>
      <c r="B130" s="25" t="s">
        <v>169</v>
      </c>
      <c r="C130" s="61">
        <f>83/105*2.9/3*2</f>
        <v>1.5282539682539682</v>
      </c>
      <c r="D130" s="61">
        <f>83/105*6.5/3*2+3.6</f>
        <v>7.0253968253968253</v>
      </c>
      <c r="E130" s="61">
        <f>83/105*23/3*2+0.1</f>
        <v>12.22063492063492</v>
      </c>
      <c r="F130" s="89">
        <f t="shared" si="86"/>
        <v>118.22412698412698</v>
      </c>
      <c r="G130" s="89">
        <f t="shared" si="87"/>
        <v>493.6707936507936</v>
      </c>
      <c r="H130" s="46">
        <f>83/105*14.5/2*2</f>
        <v>11.461904761904762</v>
      </c>
      <c r="I130" s="96" t="s">
        <v>125</v>
      </c>
      <c r="J130" s="142"/>
    </row>
    <row r="131" spans="1:10" ht="15.75" x14ac:dyDescent="0.25">
      <c r="A131" s="14" t="s">
        <v>114</v>
      </c>
      <c r="B131" s="25" t="s">
        <v>170</v>
      </c>
      <c r="C131" s="61">
        <f>100/150*20</f>
        <v>13.333333333333332</v>
      </c>
      <c r="D131" s="61">
        <f>100/150*6.6</f>
        <v>4.3999999999999995</v>
      </c>
      <c r="E131" s="61">
        <f>100/150*37</f>
        <v>24.666666666666664</v>
      </c>
      <c r="F131" s="89">
        <f>(C131+E131)*4+D131*9</f>
        <v>191.6</v>
      </c>
      <c r="G131" s="89">
        <f>(C131+E131)*17+D131*37</f>
        <v>808.8</v>
      </c>
      <c r="H131" s="46">
        <f>100/150*120/230*3*1.5</f>
        <v>1.5652173913043477</v>
      </c>
      <c r="I131" s="96" t="s">
        <v>81</v>
      </c>
      <c r="J131" s="142"/>
    </row>
    <row r="132" spans="1:10" ht="15.75" x14ac:dyDescent="0.25">
      <c r="A132" s="4" t="s">
        <v>55</v>
      </c>
      <c r="B132" s="42">
        <v>180</v>
      </c>
      <c r="C132" s="26">
        <v>0</v>
      </c>
      <c r="D132" s="26">
        <v>0</v>
      </c>
      <c r="E132" s="26">
        <v>11.7</v>
      </c>
      <c r="F132" s="89">
        <f t="shared" ref="F132" si="88">(C132+E132)*4+D132*9</f>
        <v>46.8</v>
      </c>
      <c r="G132" s="89">
        <f t="shared" ref="G132" si="89">(C132+E132)*17+D132*37</f>
        <v>198.89999999999998</v>
      </c>
      <c r="H132" s="46">
        <v>0</v>
      </c>
      <c r="I132" s="94" t="s">
        <v>81</v>
      </c>
      <c r="J132" s="142"/>
    </row>
    <row r="133" spans="1:10" ht="15.75" x14ac:dyDescent="0.25">
      <c r="A133" s="4" t="s">
        <v>42</v>
      </c>
      <c r="B133" s="5">
        <f>25/35*35</f>
        <v>25</v>
      </c>
      <c r="C133" s="6">
        <f>25/35*3</f>
        <v>2.1428571428571428</v>
      </c>
      <c r="D133" s="6">
        <f>25/35*0.5</f>
        <v>0.35714285714285715</v>
      </c>
      <c r="E133" s="6">
        <f>25/35*15.8</f>
        <v>11.285714285714286</v>
      </c>
      <c r="F133" s="89">
        <f t="shared" ref="F133" si="90">(C133+E133)*4+D133*9</f>
        <v>56.928571428571431</v>
      </c>
      <c r="G133" s="89">
        <f t="shared" ref="G133" si="91">(C133+E133)*17+D133*37</f>
        <v>241.5</v>
      </c>
      <c r="H133" s="13">
        <v>0</v>
      </c>
      <c r="I133" s="97"/>
      <c r="J133" s="142"/>
    </row>
    <row r="134" spans="1:10" ht="16.5" thickBot="1" x14ac:dyDescent="0.25">
      <c r="A134" s="9" t="s">
        <v>1</v>
      </c>
      <c r="B134" s="10">
        <f>B129+83+100+B132+B133</f>
        <v>418</v>
      </c>
      <c r="C134" s="58">
        <f t="shared" ref="C134:H134" si="92">SUM(C129:C133)</f>
        <v>21.924444444444443</v>
      </c>
      <c r="D134" s="58">
        <f t="shared" si="92"/>
        <v>12.112539682539683</v>
      </c>
      <c r="E134" s="58">
        <f t="shared" si="92"/>
        <v>59.933015873015869</v>
      </c>
      <c r="F134" s="121">
        <f t="shared" si="92"/>
        <v>436.44269841269846</v>
      </c>
      <c r="G134" s="121">
        <f t="shared" si="92"/>
        <v>1839.7407936507934</v>
      </c>
      <c r="H134" s="58">
        <f t="shared" si="92"/>
        <v>13.02712215320911</v>
      </c>
      <c r="I134" s="73"/>
    </row>
    <row r="135" spans="1:10" ht="16.5" thickBot="1" x14ac:dyDescent="0.25">
      <c r="A135" s="53" t="s">
        <v>10</v>
      </c>
      <c r="B135" s="54">
        <f>B134+B127+B118+B115</f>
        <v>1418</v>
      </c>
      <c r="C135" s="54">
        <f t="shared" ref="C135:H135" si="93">C118+C134+C127+C115</f>
        <v>52.261782106782107</v>
      </c>
      <c r="D135" s="54">
        <f t="shared" si="93"/>
        <v>48.493266955266954</v>
      </c>
      <c r="E135" s="54">
        <f t="shared" si="93"/>
        <v>205.26645310245311</v>
      </c>
      <c r="F135" s="60">
        <f t="shared" si="93"/>
        <v>1466.5523434343434</v>
      </c>
      <c r="G135" s="60">
        <f t="shared" si="93"/>
        <v>6172.2308759018761</v>
      </c>
      <c r="H135" s="54">
        <f t="shared" si="93"/>
        <v>37.893788819875773</v>
      </c>
      <c r="I135" s="101"/>
    </row>
    <row r="136" spans="1:10" ht="15.75" x14ac:dyDescent="0.2">
      <c r="A136" s="204" t="s">
        <v>25</v>
      </c>
      <c r="B136" s="205"/>
      <c r="C136" s="65"/>
      <c r="D136" s="65"/>
      <c r="E136" s="65"/>
      <c r="F136" s="90"/>
      <c r="G136" s="90"/>
      <c r="H136" s="65"/>
      <c r="I136" s="169"/>
    </row>
    <row r="137" spans="1:10" ht="16.5" thickBot="1" x14ac:dyDescent="0.25">
      <c r="A137" s="178" t="s">
        <v>6</v>
      </c>
      <c r="B137" s="179">
        <v>6</v>
      </c>
      <c r="C137" s="18"/>
      <c r="D137" s="18"/>
      <c r="E137" s="18"/>
      <c r="F137" s="91"/>
      <c r="G137" s="91"/>
      <c r="H137" s="18"/>
      <c r="I137" s="180"/>
    </row>
    <row r="138" spans="1:10" ht="15.75" x14ac:dyDescent="0.2">
      <c r="A138" s="71" t="s">
        <v>21</v>
      </c>
      <c r="B138" s="38"/>
      <c r="C138" s="38"/>
      <c r="D138" s="38"/>
      <c r="E138" s="38"/>
      <c r="F138" s="146"/>
      <c r="G138" s="146"/>
      <c r="H138" s="38"/>
      <c r="I138" s="93"/>
      <c r="J138" s="142"/>
    </row>
    <row r="139" spans="1:10" ht="15.75" x14ac:dyDescent="0.25">
      <c r="A139" s="4" t="s">
        <v>127</v>
      </c>
      <c r="B139" s="5">
        <v>110</v>
      </c>
      <c r="C139" s="44">
        <f>110/130*10.7</f>
        <v>9.0538461538461537</v>
      </c>
      <c r="D139" s="44">
        <f>110/130*19.7</f>
        <v>16.669230769230769</v>
      </c>
      <c r="E139" s="44">
        <f>110/130*1.1*3.3</f>
        <v>3.0715384615384616</v>
      </c>
      <c r="F139" s="129">
        <f t="shared" ref="F139" si="94">(C139+E139)*4+D139*9</f>
        <v>198.5246153846154</v>
      </c>
      <c r="G139" s="97">
        <f t="shared" ref="G139" si="95">(C139+E139)*17+D139*37</f>
        <v>822.89307692307682</v>
      </c>
      <c r="H139" s="13">
        <f>110/130*4.57</f>
        <v>3.8669230769230771</v>
      </c>
      <c r="I139" s="89">
        <v>215</v>
      </c>
      <c r="J139" s="142"/>
    </row>
    <row r="140" spans="1:10" ht="15.75" x14ac:dyDescent="0.2">
      <c r="A140" s="4" t="s">
        <v>41</v>
      </c>
      <c r="B140" s="8" t="s">
        <v>53</v>
      </c>
      <c r="C140" s="6">
        <v>2.4</v>
      </c>
      <c r="D140" s="6">
        <v>7.5</v>
      </c>
      <c r="E140" s="6">
        <v>14.9</v>
      </c>
      <c r="F140" s="129">
        <f t="shared" ref="F140:F142" si="96">(C140+E140)*4+D140*9</f>
        <v>136.69999999999999</v>
      </c>
      <c r="G140" s="97">
        <f t="shared" ref="G140:G142" si="97">(C140+E140)*17+D140*37</f>
        <v>571.6</v>
      </c>
      <c r="H140" s="13">
        <v>0</v>
      </c>
      <c r="I140" s="97">
        <v>1</v>
      </c>
      <c r="J140" s="142"/>
    </row>
    <row r="141" spans="1:10" ht="15.75" x14ac:dyDescent="0.25">
      <c r="A141" s="4" t="s">
        <v>123</v>
      </c>
      <c r="B141" s="25">
        <v>50</v>
      </c>
      <c r="C141" s="26">
        <f>4.8/2</f>
        <v>2.4</v>
      </c>
      <c r="D141" s="26">
        <f>2.8/2</f>
        <v>1.4</v>
      </c>
      <c r="E141" s="26">
        <f>77.7/2</f>
        <v>38.85</v>
      </c>
      <c r="F141" s="89">
        <f t="shared" si="96"/>
        <v>177.6</v>
      </c>
      <c r="G141" s="89">
        <f t="shared" si="97"/>
        <v>753.05</v>
      </c>
      <c r="H141" s="46">
        <v>0</v>
      </c>
      <c r="I141" s="102" t="s">
        <v>81</v>
      </c>
    </row>
    <row r="142" spans="1:10" ht="15.75" x14ac:dyDescent="0.2">
      <c r="A142" s="4" t="s">
        <v>62</v>
      </c>
      <c r="B142" s="5">
        <f>150/200*200</f>
        <v>150</v>
      </c>
      <c r="C142" s="6">
        <v>0.1</v>
      </c>
      <c r="D142" s="6">
        <v>0</v>
      </c>
      <c r="E142" s="6">
        <v>10</v>
      </c>
      <c r="F142" s="129">
        <f t="shared" si="96"/>
        <v>40.4</v>
      </c>
      <c r="G142" s="97">
        <f t="shared" si="97"/>
        <v>171.7</v>
      </c>
      <c r="H142" s="13">
        <v>2.4</v>
      </c>
      <c r="I142" s="97" t="s">
        <v>81</v>
      </c>
    </row>
    <row r="143" spans="1:10" ht="16.5" customHeight="1" thickBot="1" x14ac:dyDescent="0.25">
      <c r="A143" s="9" t="s">
        <v>1</v>
      </c>
      <c r="B143" s="73">
        <f>B139+40+B141+B142</f>
        <v>350</v>
      </c>
      <c r="C143" s="11">
        <f>SUM(C139:C142)</f>
        <v>13.953846153846154</v>
      </c>
      <c r="D143" s="11">
        <f>SUM(D139:D142)</f>
        <v>25.569230769230767</v>
      </c>
      <c r="E143" s="11">
        <f>SUM(E139:E142)</f>
        <v>66.821538461538466</v>
      </c>
      <c r="F143" s="73">
        <f>SUM(F139:F142)</f>
        <v>553.22461538461539</v>
      </c>
      <c r="G143" s="73">
        <f t="shared" ref="G143:H143" si="98">SUM(G139:G142)</f>
        <v>2319.2430769230768</v>
      </c>
      <c r="H143" s="11">
        <f t="shared" si="98"/>
        <v>6.266923076923077</v>
      </c>
      <c r="I143" s="103"/>
      <c r="J143" s="142"/>
    </row>
    <row r="144" spans="1:10" ht="15.75" x14ac:dyDescent="0.2">
      <c r="A144" s="71" t="s">
        <v>35</v>
      </c>
      <c r="B144" s="38"/>
      <c r="C144" s="38"/>
      <c r="D144" s="38"/>
      <c r="E144" s="38"/>
      <c r="F144" s="146"/>
      <c r="G144" s="146"/>
      <c r="H144" s="38"/>
      <c r="I144" s="122"/>
    </row>
    <row r="145" spans="1:10" ht="15.75" x14ac:dyDescent="0.2">
      <c r="A145" s="4" t="s">
        <v>36</v>
      </c>
      <c r="B145" s="5">
        <v>100</v>
      </c>
      <c r="C145" s="6">
        <v>0.4</v>
      </c>
      <c r="D145" s="6">
        <v>0.3</v>
      </c>
      <c r="E145" s="6">
        <v>8.6</v>
      </c>
      <c r="F145" s="97">
        <f t="shared" ref="F145" si="99">(C145+E145)*4+D145*9</f>
        <v>38.700000000000003</v>
      </c>
      <c r="G145" s="97">
        <f t="shared" ref="G145" si="100">(C145+E145)*17+D145*37</f>
        <v>164.1</v>
      </c>
      <c r="H145" s="13">
        <v>0.7</v>
      </c>
      <c r="I145" s="97">
        <v>368</v>
      </c>
    </row>
    <row r="146" spans="1:10" ht="16.5" thickBot="1" x14ac:dyDescent="0.25">
      <c r="A146" s="19" t="s">
        <v>1</v>
      </c>
      <c r="B146" s="16">
        <f t="shared" ref="B146:H146" si="101">SUM(B145:B145)</f>
        <v>100</v>
      </c>
      <c r="C146" s="20">
        <f>SUM(C145:C145)</f>
        <v>0.4</v>
      </c>
      <c r="D146" s="20">
        <f t="shared" si="101"/>
        <v>0.3</v>
      </c>
      <c r="E146" s="20">
        <f t="shared" si="101"/>
        <v>8.6</v>
      </c>
      <c r="F146" s="95">
        <f t="shared" si="101"/>
        <v>38.700000000000003</v>
      </c>
      <c r="G146" s="95">
        <f t="shared" si="101"/>
        <v>164.1</v>
      </c>
      <c r="H146" s="20">
        <f t="shared" si="101"/>
        <v>0.7</v>
      </c>
      <c r="I146" s="104"/>
      <c r="J146" s="142"/>
    </row>
    <row r="147" spans="1:10" ht="15.75" x14ac:dyDescent="0.2">
      <c r="A147" s="71" t="s">
        <v>3</v>
      </c>
      <c r="B147" s="38"/>
      <c r="C147" s="38"/>
      <c r="D147" s="38"/>
      <c r="E147" s="38"/>
      <c r="F147" s="146"/>
      <c r="G147" s="146"/>
      <c r="H147" s="38"/>
      <c r="I147" s="105"/>
      <c r="J147" s="142"/>
    </row>
    <row r="148" spans="1:10" ht="15.75" x14ac:dyDescent="0.25">
      <c r="A148" s="24" t="s">
        <v>122</v>
      </c>
      <c r="B148" s="25">
        <f>20/30*30</f>
        <v>20</v>
      </c>
      <c r="C148" s="61">
        <f>20/30*0.2</f>
        <v>0.13333333333333333</v>
      </c>
      <c r="D148" s="61">
        <v>0</v>
      </c>
      <c r="E148" s="61">
        <f>20/30*1.4</f>
        <v>0.93333333333333324</v>
      </c>
      <c r="F148" s="89">
        <f>(C148+E148)*4+D148*9</f>
        <v>4.2666666666666666</v>
      </c>
      <c r="G148" s="89">
        <f>(C148+E148)*17+D148*37</f>
        <v>18.133333333333333</v>
      </c>
      <c r="H148" s="61">
        <f>20/30*7.5</f>
        <v>5</v>
      </c>
      <c r="I148" s="105"/>
      <c r="J148" s="142"/>
    </row>
    <row r="149" spans="1:10" ht="31.5" x14ac:dyDescent="0.25">
      <c r="A149" s="24" t="s">
        <v>68</v>
      </c>
      <c r="B149" s="29" t="s">
        <v>165</v>
      </c>
      <c r="C149" s="30">
        <f>165/220*5.6</f>
        <v>4.1999999999999993</v>
      </c>
      <c r="D149" s="30">
        <f>165/220*7.4</f>
        <v>5.5500000000000007</v>
      </c>
      <c r="E149" s="30">
        <f>165/220*7.6</f>
        <v>5.6999999999999993</v>
      </c>
      <c r="F149" s="89">
        <f>(C149+E149)*4+D149*9</f>
        <v>89.55</v>
      </c>
      <c r="G149" s="89">
        <f>(C149+E149)*17+D149*37</f>
        <v>373.65</v>
      </c>
      <c r="H149" s="47">
        <f>165/220*25.2</f>
        <v>18.899999999999999</v>
      </c>
      <c r="I149" s="97" t="s">
        <v>81</v>
      </c>
      <c r="J149" s="142"/>
    </row>
    <row r="150" spans="1:10" ht="31.5" x14ac:dyDescent="0.25">
      <c r="A150" s="4" t="s">
        <v>129</v>
      </c>
      <c r="B150" s="25">
        <f>50/70*70</f>
        <v>50</v>
      </c>
      <c r="C150" s="26">
        <f>50/70*10.2</f>
        <v>7.2857142857142856</v>
      </c>
      <c r="D150" s="26">
        <f>50/70*9.5</f>
        <v>6.7857142857142856</v>
      </c>
      <c r="E150" s="26">
        <f>50/70*9.9</f>
        <v>7.0714285714285721</v>
      </c>
      <c r="F150" s="89">
        <f>(C150+E150)*4+D150*9</f>
        <v>118.5</v>
      </c>
      <c r="G150" s="89">
        <f>(C150+E150)*17+D150*37</f>
        <v>495.14285714285711</v>
      </c>
      <c r="H150" s="31">
        <f>50/70*0.2</f>
        <v>0.14285714285714288</v>
      </c>
      <c r="I150" s="89">
        <v>281</v>
      </c>
      <c r="J150" s="142"/>
    </row>
    <row r="151" spans="1:10" ht="15.75" x14ac:dyDescent="0.2">
      <c r="A151" s="4" t="s">
        <v>155</v>
      </c>
      <c r="B151" s="5">
        <f>100/120*120</f>
        <v>100</v>
      </c>
      <c r="C151" s="6">
        <f>100/120*3.6</f>
        <v>3</v>
      </c>
      <c r="D151" s="6">
        <f>100/120*3.5</f>
        <v>2.916666666666667</v>
      </c>
      <c r="E151" s="6">
        <f>100/120*25.4</f>
        <v>21.166666666666668</v>
      </c>
      <c r="F151" s="97">
        <f t="shared" ref="F151" si="102">(C151+E151)*4+D151*9</f>
        <v>122.91666666666667</v>
      </c>
      <c r="G151" s="97">
        <f t="shared" ref="G151" si="103">(C151+E151)*17+D151*37</f>
        <v>518.75</v>
      </c>
      <c r="H151" s="13">
        <v>0</v>
      </c>
      <c r="I151" s="97">
        <v>313</v>
      </c>
      <c r="J151" s="142"/>
    </row>
    <row r="152" spans="1:10" ht="15.75" x14ac:dyDescent="0.25">
      <c r="A152" s="4" t="s">
        <v>89</v>
      </c>
      <c r="B152" s="5">
        <f>150/200*200</f>
        <v>150</v>
      </c>
      <c r="C152" s="6">
        <v>0.3</v>
      </c>
      <c r="D152" s="6">
        <f>150/200*0.1</f>
        <v>7.5000000000000011E-2</v>
      </c>
      <c r="E152" s="6">
        <v>17.600000000000001</v>
      </c>
      <c r="F152" s="89">
        <f t="shared" ref="F152:F154" si="104">(C152+E152)*4+D152*9</f>
        <v>72.275000000000006</v>
      </c>
      <c r="G152" s="89">
        <f t="shared" ref="G152:G154" si="105">(C152+E152)*17+D152*37</f>
        <v>307.07499999999999</v>
      </c>
      <c r="H152" s="13">
        <v>0.2</v>
      </c>
      <c r="I152" s="97" t="s">
        <v>81</v>
      </c>
      <c r="J152" s="142"/>
    </row>
    <row r="153" spans="1:10" ht="15.75" x14ac:dyDescent="0.25">
      <c r="A153" s="4" t="s">
        <v>4</v>
      </c>
      <c r="B153" s="5">
        <f>25/35*35</f>
        <v>25</v>
      </c>
      <c r="C153" s="13">
        <f>25/35*2.3</f>
        <v>1.6428571428571428</v>
      </c>
      <c r="D153" s="13">
        <f>25/35*0.4</f>
        <v>0.28571428571428575</v>
      </c>
      <c r="E153" s="13">
        <f>25/35*8.3</f>
        <v>5.9285714285714288</v>
      </c>
      <c r="F153" s="89">
        <f t="shared" si="104"/>
        <v>32.857142857142854</v>
      </c>
      <c r="G153" s="89">
        <f t="shared" si="105"/>
        <v>139.28571428571431</v>
      </c>
      <c r="H153" s="13">
        <v>0</v>
      </c>
      <c r="I153" s="121"/>
      <c r="J153" s="142"/>
    </row>
    <row r="154" spans="1:10" ht="15.75" x14ac:dyDescent="0.25">
      <c r="A154" s="4" t="s">
        <v>0</v>
      </c>
      <c r="B154" s="5">
        <f>25/35*35</f>
        <v>25</v>
      </c>
      <c r="C154" s="13">
        <f>25/35*2.7</f>
        <v>1.9285714285714288</v>
      </c>
      <c r="D154" s="13">
        <f>25/35*0.3</f>
        <v>0.21428571428571427</v>
      </c>
      <c r="E154" s="13">
        <f>25/35*17.2</f>
        <v>12.285714285714285</v>
      </c>
      <c r="F154" s="89">
        <f t="shared" si="104"/>
        <v>58.785714285714285</v>
      </c>
      <c r="G154" s="89">
        <f t="shared" si="105"/>
        <v>249.57142857142856</v>
      </c>
      <c r="H154" s="13">
        <v>0</v>
      </c>
      <c r="I154" s="109"/>
    </row>
    <row r="155" spans="1:10" ht="16.5" thickBot="1" x14ac:dyDescent="0.25">
      <c r="A155" s="21" t="s">
        <v>1</v>
      </c>
      <c r="B155" s="173">
        <f>B148+165+B150+B151+B152+B153+B154</f>
        <v>535</v>
      </c>
      <c r="C155" s="22">
        <f>SUM(C148:C154)</f>
        <v>18.490476190476194</v>
      </c>
      <c r="D155" s="22">
        <f>SUM(D148:D154)</f>
        <v>15.827380952380953</v>
      </c>
      <c r="E155" s="22">
        <f t="shared" ref="E155:H155" si="106">SUM(E148:E154)</f>
        <v>70.685714285714283</v>
      </c>
      <c r="F155" s="98">
        <f t="shared" si="106"/>
        <v>499.15119047619044</v>
      </c>
      <c r="G155" s="98">
        <f t="shared" si="106"/>
        <v>2101.6083333333331</v>
      </c>
      <c r="H155" s="22">
        <f t="shared" si="106"/>
        <v>24.24285714285714</v>
      </c>
      <c r="I155" s="104"/>
      <c r="J155" s="142"/>
    </row>
    <row r="156" spans="1:10" ht="15.75" x14ac:dyDescent="0.2">
      <c r="A156" s="71" t="s">
        <v>5</v>
      </c>
      <c r="B156" s="38"/>
      <c r="C156" s="38"/>
      <c r="D156" s="38"/>
      <c r="E156" s="38"/>
      <c r="F156" s="146"/>
      <c r="G156" s="146"/>
      <c r="H156" s="38"/>
      <c r="I156" s="105"/>
      <c r="J156" s="142"/>
    </row>
    <row r="157" spans="1:10" ht="31.5" x14ac:dyDescent="0.25">
      <c r="A157" s="4" t="s">
        <v>134</v>
      </c>
      <c r="B157" s="25" t="s">
        <v>133</v>
      </c>
      <c r="C157" s="26">
        <f>200/125*1.9</f>
        <v>3.04</v>
      </c>
      <c r="D157" s="26">
        <f>200/125*7.9</f>
        <v>12.64</v>
      </c>
      <c r="E157" s="26">
        <f>200/125*15</f>
        <v>24</v>
      </c>
      <c r="F157" s="89">
        <f t="shared" ref="F157" si="107">(C157+E157)*4+D157*9</f>
        <v>221.92000000000002</v>
      </c>
      <c r="G157" s="89">
        <f t="shared" ref="G157" si="108">(C157+E157)*17+D157*37</f>
        <v>927.36</v>
      </c>
      <c r="H157" s="46">
        <v>13.8</v>
      </c>
      <c r="I157" s="7" t="s">
        <v>117</v>
      </c>
      <c r="J157" s="142"/>
    </row>
    <row r="158" spans="1:10" ht="15.75" x14ac:dyDescent="0.25">
      <c r="A158" s="4" t="s">
        <v>118</v>
      </c>
      <c r="B158" s="25">
        <v>60</v>
      </c>
      <c r="C158" s="26">
        <f>60/80*4.5</f>
        <v>3.375</v>
      </c>
      <c r="D158" s="26">
        <f>60/80*5.3</f>
        <v>3.9749999999999996</v>
      </c>
      <c r="E158" s="26">
        <f>60/80*34.1</f>
        <v>25.575000000000003</v>
      </c>
      <c r="F158" s="89">
        <f t="shared" ref="F158:F159" si="109">(C158+E158)*4+D158*9</f>
        <v>151.57500000000002</v>
      </c>
      <c r="G158" s="89">
        <f t="shared" ref="G158:G159" si="110">(C158+E158)*17+D158*37</f>
        <v>639.22500000000002</v>
      </c>
      <c r="H158" s="46">
        <f>60/80*2.2</f>
        <v>1.6500000000000001</v>
      </c>
      <c r="I158" s="26" t="s">
        <v>81</v>
      </c>
      <c r="J158" s="142"/>
    </row>
    <row r="159" spans="1:10" ht="15.75" x14ac:dyDescent="0.25">
      <c r="A159" s="4" t="s">
        <v>47</v>
      </c>
      <c r="B159" s="29">
        <f>150/180*180</f>
        <v>150</v>
      </c>
      <c r="C159" s="26">
        <v>0</v>
      </c>
      <c r="D159" s="26">
        <v>0</v>
      </c>
      <c r="E159" s="26">
        <f>150/180*11.7</f>
        <v>9.75</v>
      </c>
      <c r="F159" s="89">
        <f t="shared" si="109"/>
        <v>39</v>
      </c>
      <c r="G159" s="89">
        <f t="shared" si="110"/>
        <v>165.75</v>
      </c>
      <c r="H159" s="46">
        <v>0</v>
      </c>
      <c r="I159" s="96" t="s">
        <v>81</v>
      </c>
      <c r="J159" s="142"/>
    </row>
    <row r="160" spans="1:10" ht="15.75" x14ac:dyDescent="0.25">
      <c r="A160" s="4" t="s">
        <v>42</v>
      </c>
      <c r="B160" s="25">
        <f>25/35*35</f>
        <v>25</v>
      </c>
      <c r="C160" s="26">
        <f>25/35*3</f>
        <v>2.1428571428571428</v>
      </c>
      <c r="D160" s="26">
        <f>25/35*0.5</f>
        <v>0.35714285714285715</v>
      </c>
      <c r="E160" s="26">
        <f>25/35*15.8</f>
        <v>11.285714285714286</v>
      </c>
      <c r="F160" s="89">
        <f t="shared" ref="F160" si="111">(C160+E160)*4+D160*9</f>
        <v>56.928571428571431</v>
      </c>
      <c r="G160" s="89">
        <f t="shared" ref="G160" si="112">(C160+E160)*17+D160*37</f>
        <v>241.5</v>
      </c>
      <c r="H160" s="31">
        <v>0</v>
      </c>
      <c r="I160" s="89"/>
    </row>
    <row r="161" spans="1:10" ht="16.5" thickBot="1" x14ac:dyDescent="0.3">
      <c r="A161" s="9" t="s">
        <v>1</v>
      </c>
      <c r="B161" s="27">
        <f>150+B158+B159+B160</f>
        <v>385</v>
      </c>
      <c r="C161" s="28">
        <f>SUM(C157:C160)</f>
        <v>8.5578571428571433</v>
      </c>
      <c r="D161" s="28">
        <f t="shared" ref="D161:H161" si="113">SUM(D157:D160)</f>
        <v>16.97214285714286</v>
      </c>
      <c r="E161" s="28">
        <f t="shared" si="113"/>
        <v>70.610714285714295</v>
      </c>
      <c r="F161" s="57">
        <f t="shared" si="113"/>
        <v>469.42357142857145</v>
      </c>
      <c r="G161" s="57">
        <f t="shared" si="113"/>
        <v>1973.835</v>
      </c>
      <c r="H161" s="28">
        <f t="shared" si="113"/>
        <v>15.450000000000001</v>
      </c>
      <c r="I161" s="57"/>
      <c r="J161" s="142"/>
    </row>
    <row r="162" spans="1:10" ht="16.5" thickBot="1" x14ac:dyDescent="0.3">
      <c r="A162" s="53" t="s">
        <v>10</v>
      </c>
      <c r="B162" s="60">
        <f>B161+B155+B146+B143</f>
        <v>1370</v>
      </c>
      <c r="C162" s="54">
        <f t="shared" ref="C162:H162" si="114">C146+C161+C155+C143</f>
        <v>41.402179487179495</v>
      </c>
      <c r="D162" s="54">
        <f t="shared" si="114"/>
        <v>58.668754578754587</v>
      </c>
      <c r="E162" s="54">
        <f t="shared" si="114"/>
        <v>216.71796703296704</v>
      </c>
      <c r="F162" s="60">
        <f t="shared" si="114"/>
        <v>1560.4993772893772</v>
      </c>
      <c r="G162" s="60">
        <f t="shared" si="114"/>
        <v>6558.7864102564099</v>
      </c>
      <c r="H162" s="54">
        <f t="shared" si="114"/>
        <v>46.659780219780217</v>
      </c>
      <c r="I162" s="106"/>
    </row>
    <row r="163" spans="1:10" ht="16.5" thickBot="1" x14ac:dyDescent="0.3">
      <c r="A163" s="178" t="s">
        <v>6</v>
      </c>
      <c r="B163" s="179">
        <v>7</v>
      </c>
      <c r="C163" s="18"/>
      <c r="D163" s="18"/>
      <c r="E163" s="18"/>
      <c r="F163" s="91"/>
      <c r="G163" s="91"/>
      <c r="H163" s="139"/>
      <c r="I163" s="114"/>
    </row>
    <row r="164" spans="1:10" ht="15.75" x14ac:dyDescent="0.25">
      <c r="A164" s="71" t="s">
        <v>21</v>
      </c>
      <c r="B164" s="38"/>
      <c r="C164" s="38"/>
      <c r="D164" s="38"/>
      <c r="E164" s="38"/>
      <c r="F164" s="146"/>
      <c r="G164" s="146"/>
      <c r="H164" s="38"/>
      <c r="I164" s="107"/>
      <c r="J164" s="142"/>
    </row>
    <row r="165" spans="1:10" ht="15.75" x14ac:dyDescent="0.25">
      <c r="A165" s="4" t="s">
        <v>85</v>
      </c>
      <c r="B165" s="5" t="s">
        <v>177</v>
      </c>
      <c r="C165" s="6">
        <f>160/180*12.1</f>
        <v>10.755555555555555</v>
      </c>
      <c r="D165" s="6">
        <f>160/180*(15.2-5.1)</f>
        <v>8.9777777777777761</v>
      </c>
      <c r="E165" s="6">
        <f>160/180*49.6</f>
        <v>44.088888888888889</v>
      </c>
      <c r="F165" s="89">
        <f t="shared" ref="F165:F166" si="115">(C165+E165)*4+D165*9</f>
        <v>300.17777777777775</v>
      </c>
      <c r="G165" s="97">
        <f t="shared" ref="G165:G166" si="116">(C165+E165)*17+D165*37</f>
        <v>1264.5333333333333</v>
      </c>
      <c r="H165" s="13">
        <f>160/180*0.1</f>
        <v>8.8888888888888892E-2</v>
      </c>
      <c r="I165" s="89" t="s">
        <v>81</v>
      </c>
      <c r="J165" s="142"/>
    </row>
    <row r="166" spans="1:10" ht="15.75" x14ac:dyDescent="0.25">
      <c r="A166" s="4" t="s">
        <v>59</v>
      </c>
      <c r="B166" s="8" t="s">
        <v>53</v>
      </c>
      <c r="C166" s="6">
        <v>2.4</v>
      </c>
      <c r="D166" s="6">
        <v>7.5</v>
      </c>
      <c r="E166" s="6">
        <v>14.9</v>
      </c>
      <c r="F166" s="89">
        <f t="shared" si="115"/>
        <v>136.69999999999999</v>
      </c>
      <c r="G166" s="89">
        <f t="shared" si="116"/>
        <v>571.6</v>
      </c>
      <c r="H166" s="13">
        <v>0</v>
      </c>
      <c r="I166" s="89">
        <v>1</v>
      </c>
      <c r="J166" s="142"/>
    </row>
    <row r="167" spans="1:10" ht="15.75" x14ac:dyDescent="0.25">
      <c r="A167" s="4" t="s">
        <v>19</v>
      </c>
      <c r="B167" s="29">
        <f>150/200*200</f>
        <v>150</v>
      </c>
      <c r="C167" s="30">
        <f>150/200*4.9</f>
        <v>3.6750000000000003</v>
      </c>
      <c r="D167" s="30">
        <f>150/200*4</f>
        <v>3</v>
      </c>
      <c r="E167" s="30">
        <f>150/200*17.8</f>
        <v>13.350000000000001</v>
      </c>
      <c r="F167" s="89">
        <f t="shared" ref="F167" si="117">(C167+E167)*4+D167*9</f>
        <v>95.100000000000009</v>
      </c>
      <c r="G167" s="89">
        <f t="shared" ref="G167" si="118">(C167+E167)*17+D167*37</f>
        <v>400.42500000000001</v>
      </c>
      <c r="H167" s="47">
        <f>150/200*0.9</f>
        <v>0.67500000000000004</v>
      </c>
      <c r="I167" s="89">
        <v>397</v>
      </c>
    </row>
    <row r="168" spans="1:10" ht="16.5" thickBot="1" x14ac:dyDescent="0.3">
      <c r="A168" s="9" t="s">
        <v>1</v>
      </c>
      <c r="B168" s="57">
        <f>160+B167+40</f>
        <v>350</v>
      </c>
      <c r="C168" s="28">
        <f t="shared" ref="C168:H168" si="119">SUM(C165:C167)</f>
        <v>16.830555555555556</v>
      </c>
      <c r="D168" s="28">
        <f t="shared" si="119"/>
        <v>19.477777777777774</v>
      </c>
      <c r="E168" s="28">
        <f t="shared" si="119"/>
        <v>72.338888888888889</v>
      </c>
      <c r="F168" s="57">
        <f t="shared" si="119"/>
        <v>531.97777777777776</v>
      </c>
      <c r="G168" s="57">
        <f t="shared" si="119"/>
        <v>2236.5583333333334</v>
      </c>
      <c r="H168" s="28">
        <f t="shared" si="119"/>
        <v>0.76388888888888895</v>
      </c>
      <c r="I168" s="103"/>
      <c r="J168" s="142"/>
    </row>
    <row r="169" spans="1:10" ht="15.75" x14ac:dyDescent="0.25">
      <c r="A169" s="71" t="s">
        <v>35</v>
      </c>
      <c r="B169" s="38"/>
      <c r="C169" s="38"/>
      <c r="D169" s="38"/>
      <c r="E169" s="38"/>
      <c r="F169" s="146"/>
      <c r="G169" s="146"/>
      <c r="H169" s="38"/>
      <c r="I169" s="106"/>
    </row>
    <row r="170" spans="1:10" ht="15.75" x14ac:dyDescent="0.2">
      <c r="A170" s="4" t="s">
        <v>70</v>
      </c>
      <c r="B170" s="5">
        <f>150/180*180</f>
        <v>150</v>
      </c>
      <c r="C170" s="6">
        <f>150/180*1.8*0.3</f>
        <v>0.44999999999999996</v>
      </c>
      <c r="D170" s="6">
        <f>150/180*1.8*0.2</f>
        <v>0.30000000000000004</v>
      </c>
      <c r="E170" s="6">
        <f>150/180*1.8*16.3</f>
        <v>24.450000000000003</v>
      </c>
      <c r="F170" s="97">
        <f t="shared" ref="F170" si="120">(C170+E170)*4+D170*9</f>
        <v>102.30000000000001</v>
      </c>
      <c r="G170" s="97">
        <f t="shared" ref="G170" si="121">(C170+E170)*17+D170*37</f>
        <v>434.40000000000003</v>
      </c>
      <c r="H170" s="13">
        <f>150/180*2.2</f>
        <v>1.8333333333333335</v>
      </c>
      <c r="I170" s="94">
        <v>399</v>
      </c>
      <c r="J170" s="142"/>
    </row>
    <row r="171" spans="1:10" ht="16.5" thickBot="1" x14ac:dyDescent="0.3">
      <c r="A171" s="9" t="s">
        <v>1</v>
      </c>
      <c r="B171" s="57">
        <f t="shared" ref="B171:H171" si="122">SUM(B170:B170)</f>
        <v>150</v>
      </c>
      <c r="C171" s="28">
        <f t="shared" si="122"/>
        <v>0.44999999999999996</v>
      </c>
      <c r="D171" s="28">
        <f t="shared" si="122"/>
        <v>0.30000000000000004</v>
      </c>
      <c r="E171" s="28">
        <f t="shared" si="122"/>
        <v>24.450000000000003</v>
      </c>
      <c r="F171" s="57">
        <f t="shared" si="122"/>
        <v>102.30000000000001</v>
      </c>
      <c r="G171" s="57">
        <f t="shared" si="122"/>
        <v>434.40000000000003</v>
      </c>
      <c r="H171" s="28">
        <f t="shared" si="122"/>
        <v>1.8333333333333335</v>
      </c>
      <c r="I171" s="134"/>
    </row>
    <row r="172" spans="1:10" ht="15.75" x14ac:dyDescent="0.2">
      <c r="A172" s="71" t="s">
        <v>3</v>
      </c>
      <c r="B172" s="38"/>
      <c r="C172" s="38"/>
      <c r="D172" s="38"/>
      <c r="E172" s="38"/>
      <c r="F172" s="146"/>
      <c r="G172" s="146"/>
      <c r="H172" s="38"/>
      <c r="I172" s="108"/>
    </row>
    <row r="173" spans="1:10" ht="15.75" x14ac:dyDescent="0.25">
      <c r="A173" s="4" t="s">
        <v>135</v>
      </c>
      <c r="B173" s="5">
        <f>30/50*50</f>
        <v>30</v>
      </c>
      <c r="C173" s="6">
        <f>30/50*0.5</f>
        <v>0.3</v>
      </c>
      <c r="D173" s="6">
        <f>30/50*3.6</f>
        <v>2.16</v>
      </c>
      <c r="E173" s="6">
        <f>30/50*5.3</f>
        <v>3.1799999999999997</v>
      </c>
      <c r="F173" s="97">
        <f>(C173+E173)*4+D173*9</f>
        <v>33.36</v>
      </c>
      <c r="G173" s="97">
        <f>(C173+E173)*17+D173*37</f>
        <v>139.07999999999998</v>
      </c>
      <c r="H173" s="13">
        <f>30/50*2.8</f>
        <v>1.68</v>
      </c>
      <c r="I173" s="89" t="s">
        <v>81</v>
      </c>
      <c r="J173" s="142"/>
    </row>
    <row r="174" spans="1:10" ht="15.75" x14ac:dyDescent="0.25">
      <c r="A174" s="4" t="s">
        <v>60</v>
      </c>
      <c r="B174" s="25">
        <v>150</v>
      </c>
      <c r="C174" s="26">
        <f>150/200*6.6</f>
        <v>4.9499999999999993</v>
      </c>
      <c r="D174" s="26">
        <f>150/200*4.2</f>
        <v>3.1500000000000004</v>
      </c>
      <c r="E174" s="26">
        <f>150/200*22.6</f>
        <v>16.950000000000003</v>
      </c>
      <c r="F174" s="97">
        <f t="shared" ref="F174:F178" si="123">(C174+E174)*4+D174*9</f>
        <v>115.95000000000002</v>
      </c>
      <c r="G174" s="97">
        <f t="shared" ref="G174:G178" si="124">(C174+E174)*17+D174*37</f>
        <v>488.85</v>
      </c>
      <c r="H174" s="85">
        <f>150/200*11.2</f>
        <v>8.3999999999999986</v>
      </c>
      <c r="I174" s="89">
        <v>81</v>
      </c>
      <c r="J174" s="142"/>
    </row>
    <row r="175" spans="1:10" ht="15.75" x14ac:dyDescent="0.25">
      <c r="A175" s="4" t="s">
        <v>86</v>
      </c>
      <c r="B175" s="25">
        <f>140/150*150</f>
        <v>140</v>
      </c>
      <c r="C175" s="26">
        <f>140/180*10</f>
        <v>7.7777777777777777</v>
      </c>
      <c r="D175" s="26">
        <f>140/180*180/150*8.7</f>
        <v>8.1199999999999992</v>
      </c>
      <c r="E175" s="26">
        <f>140/180*180/150*11.8</f>
        <v>11.013333333333334</v>
      </c>
      <c r="F175" s="89">
        <f t="shared" si="123"/>
        <v>148.24444444444444</v>
      </c>
      <c r="G175" s="89">
        <f t="shared" si="124"/>
        <v>619.88888888888891</v>
      </c>
      <c r="H175" s="46">
        <f>140/180*180/150*12</f>
        <v>11.2</v>
      </c>
      <c r="I175" s="96" t="s">
        <v>81</v>
      </c>
      <c r="J175" s="142"/>
    </row>
    <row r="176" spans="1:10" ht="15.75" x14ac:dyDescent="0.25">
      <c r="A176" s="4" t="s">
        <v>52</v>
      </c>
      <c r="B176" s="42">
        <f>150/180*180</f>
        <v>150</v>
      </c>
      <c r="C176" s="6">
        <f>150/180*0.5</f>
        <v>0.41666666666666669</v>
      </c>
      <c r="D176" s="6">
        <f>150/180*0.1</f>
        <v>8.3333333333333343E-2</v>
      </c>
      <c r="E176" s="6">
        <f>150/180*150/200*19.62</f>
        <v>12.262500000000001</v>
      </c>
      <c r="F176" s="89">
        <f t="shared" si="123"/>
        <v>51.466666666666669</v>
      </c>
      <c r="G176" s="89">
        <f t="shared" si="124"/>
        <v>218.62916666666669</v>
      </c>
      <c r="H176" s="45">
        <f>150/180*150/200*0.36</f>
        <v>0.22499999999999998</v>
      </c>
      <c r="I176" s="122" t="s">
        <v>81</v>
      </c>
      <c r="J176" s="142"/>
    </row>
    <row r="177" spans="1:10" ht="15.75" x14ac:dyDescent="0.2">
      <c r="A177" s="4" t="s">
        <v>4</v>
      </c>
      <c r="B177" s="5">
        <f>25/35*35</f>
        <v>25</v>
      </c>
      <c r="C177" s="13">
        <f>25/35*2.3</f>
        <v>1.6428571428571428</v>
      </c>
      <c r="D177" s="13">
        <f>25/35*0.4</f>
        <v>0.28571428571428575</v>
      </c>
      <c r="E177" s="13">
        <f>25/35*8.3</f>
        <v>5.9285714285714288</v>
      </c>
      <c r="F177" s="97">
        <f t="shared" si="123"/>
        <v>32.857142857142854</v>
      </c>
      <c r="G177" s="97">
        <f t="shared" si="124"/>
        <v>139.28571428571431</v>
      </c>
      <c r="H177" s="13">
        <v>0</v>
      </c>
      <c r="I177" s="97"/>
      <c r="J177" s="142"/>
    </row>
    <row r="178" spans="1:10" ht="15.75" x14ac:dyDescent="0.2">
      <c r="A178" s="4" t="s">
        <v>0</v>
      </c>
      <c r="B178" s="5">
        <f>25/35*35</f>
        <v>25</v>
      </c>
      <c r="C178" s="13">
        <f>25/35*2.7</f>
        <v>1.9285714285714288</v>
      </c>
      <c r="D178" s="13">
        <f>25/35*0.3</f>
        <v>0.21428571428571427</v>
      </c>
      <c r="E178" s="13">
        <f>25/35*17.2</f>
        <v>12.285714285714285</v>
      </c>
      <c r="F178" s="97">
        <f t="shared" si="123"/>
        <v>58.785714285714285</v>
      </c>
      <c r="G178" s="97">
        <f t="shared" si="124"/>
        <v>249.57142857142856</v>
      </c>
      <c r="H178" s="13">
        <v>0</v>
      </c>
      <c r="I178" s="97"/>
      <c r="J178" s="142"/>
    </row>
    <row r="179" spans="1:10" ht="16.5" thickBot="1" x14ac:dyDescent="0.3">
      <c r="A179" s="21" t="s">
        <v>1</v>
      </c>
      <c r="B179" s="32">
        <f>SUM(B173:B178)</f>
        <v>520</v>
      </c>
      <c r="C179" s="33">
        <f t="shared" ref="C179:H179" si="125">SUM(C173:C178)</f>
        <v>17.015873015873012</v>
      </c>
      <c r="D179" s="33">
        <f t="shared" si="125"/>
        <v>14.013333333333334</v>
      </c>
      <c r="E179" s="33">
        <f t="shared" si="125"/>
        <v>61.620119047619056</v>
      </c>
      <c r="F179" s="151">
        <f t="shared" si="125"/>
        <v>440.66396825396828</v>
      </c>
      <c r="G179" s="151">
        <f t="shared" si="125"/>
        <v>1855.3051984126982</v>
      </c>
      <c r="H179" s="33">
        <f t="shared" si="125"/>
        <v>21.504999999999999</v>
      </c>
      <c r="I179" s="104"/>
      <c r="J179" s="142"/>
    </row>
    <row r="180" spans="1:10" ht="15.75" x14ac:dyDescent="0.2">
      <c r="A180" s="71" t="s">
        <v>5</v>
      </c>
      <c r="B180" s="38"/>
      <c r="C180" s="38"/>
      <c r="D180" s="38"/>
      <c r="E180" s="38"/>
      <c r="F180" s="146"/>
      <c r="G180" s="146"/>
      <c r="H180" s="38"/>
      <c r="I180" s="108"/>
    </row>
    <row r="181" spans="1:10" ht="15.75" x14ac:dyDescent="0.25">
      <c r="A181" s="4" t="s">
        <v>124</v>
      </c>
      <c r="B181" s="25">
        <v>30</v>
      </c>
      <c r="C181" s="26">
        <f>30/50*7</f>
        <v>4.2</v>
      </c>
      <c r="D181" s="26">
        <f>30/50*6.4</f>
        <v>3.84</v>
      </c>
      <c r="E181" s="26">
        <f>30/50*0.8</f>
        <v>0.48</v>
      </c>
      <c r="F181" s="89">
        <f t="shared" ref="F181:F183" si="126">(C181+E181)*4+D181*9</f>
        <v>53.28</v>
      </c>
      <c r="G181" s="89">
        <f t="shared" ref="G181:G183" si="127">(C181+E181)*17+D181*37</f>
        <v>221.64</v>
      </c>
      <c r="H181" s="46">
        <f>30/50*1.4</f>
        <v>0.84</v>
      </c>
      <c r="I181" s="97" t="s">
        <v>81</v>
      </c>
      <c r="J181" s="142"/>
    </row>
    <row r="182" spans="1:10" ht="15.75" x14ac:dyDescent="0.25">
      <c r="A182" s="4" t="s">
        <v>14</v>
      </c>
      <c r="B182" s="5">
        <v>100</v>
      </c>
      <c r="C182" s="44">
        <f>100/120*2.7</f>
        <v>2.2500000000000004</v>
      </c>
      <c r="D182" s="44">
        <f>100/120*3.3</f>
        <v>2.75</v>
      </c>
      <c r="E182" s="44">
        <f>100/120*10.7</f>
        <v>8.9166666666666661</v>
      </c>
      <c r="F182" s="89">
        <f t="shared" si="126"/>
        <v>69.416666666666657</v>
      </c>
      <c r="G182" s="89">
        <f t="shared" si="127"/>
        <v>291.58333333333331</v>
      </c>
      <c r="H182" s="49">
        <f>100/120*3.5</f>
        <v>2.916666666666667</v>
      </c>
      <c r="I182" s="129" t="s">
        <v>81</v>
      </c>
      <c r="J182" s="142"/>
    </row>
    <row r="183" spans="1:10" ht="15.75" x14ac:dyDescent="0.25">
      <c r="A183" s="4" t="s">
        <v>16</v>
      </c>
      <c r="B183" s="5">
        <f>70/50*50</f>
        <v>70</v>
      </c>
      <c r="C183" s="12">
        <f>70/50*3.54</f>
        <v>4.9559999999999995</v>
      </c>
      <c r="D183" s="12">
        <f>70/50*6.57</f>
        <v>9.1980000000000004</v>
      </c>
      <c r="E183" s="12">
        <f>70/50*27.9</f>
        <v>39.059999999999995</v>
      </c>
      <c r="F183" s="89">
        <f t="shared" si="126"/>
        <v>258.846</v>
      </c>
      <c r="G183" s="89">
        <f t="shared" si="127"/>
        <v>1088.598</v>
      </c>
      <c r="H183" s="45">
        <f>70/50*0.58</f>
        <v>0.81199999999999994</v>
      </c>
      <c r="I183" s="97">
        <v>460</v>
      </c>
      <c r="J183" s="142"/>
    </row>
    <row r="184" spans="1:10" ht="15.75" x14ac:dyDescent="0.25">
      <c r="A184" s="4" t="s">
        <v>55</v>
      </c>
      <c r="B184" s="25">
        <f>150/200*200</f>
        <v>150</v>
      </c>
      <c r="C184" s="26">
        <v>0</v>
      </c>
      <c r="D184" s="26">
        <v>0</v>
      </c>
      <c r="E184" s="26">
        <v>9.8000000000000007</v>
      </c>
      <c r="F184" s="89">
        <f t="shared" ref="F184:F185" si="128">(C184+E184)*4+D184*9</f>
        <v>39.200000000000003</v>
      </c>
      <c r="G184" s="89">
        <f t="shared" ref="G184:G185" si="129">(C184+E184)*17+D184*37</f>
        <v>166.60000000000002</v>
      </c>
      <c r="H184" s="31">
        <v>0</v>
      </c>
      <c r="I184" s="97" t="s">
        <v>81</v>
      </c>
      <c r="J184" s="142"/>
    </row>
    <row r="185" spans="1:10" ht="15.75" x14ac:dyDescent="0.25">
      <c r="A185" s="4" t="s">
        <v>42</v>
      </c>
      <c r="B185" s="5">
        <f>25/35*35</f>
        <v>25</v>
      </c>
      <c r="C185" s="6">
        <f>25/35*3</f>
        <v>2.1428571428571428</v>
      </c>
      <c r="D185" s="6">
        <f>25/35*0.5</f>
        <v>0.35714285714285715</v>
      </c>
      <c r="E185" s="6">
        <f>25/35*15.8</f>
        <v>11.285714285714286</v>
      </c>
      <c r="F185" s="89">
        <f t="shared" si="128"/>
        <v>56.928571428571431</v>
      </c>
      <c r="G185" s="89">
        <f t="shared" si="129"/>
        <v>241.5</v>
      </c>
      <c r="H185" s="13">
        <v>0</v>
      </c>
      <c r="I185" s="100"/>
    </row>
    <row r="186" spans="1:10" ht="16.5" thickBot="1" x14ac:dyDescent="0.25">
      <c r="A186" s="9" t="s">
        <v>1</v>
      </c>
      <c r="B186" s="10">
        <f>SUM(B181:B185)</f>
        <v>375</v>
      </c>
      <c r="C186" s="11">
        <f>SUM(C181:C185)</f>
        <v>13.548857142857143</v>
      </c>
      <c r="D186" s="11">
        <f t="shared" ref="D186:H186" si="130">SUM(D181:D185)</f>
        <v>16.145142857142858</v>
      </c>
      <c r="E186" s="11">
        <f>SUM(E181:E185)</f>
        <v>69.542380952380952</v>
      </c>
      <c r="F186" s="73">
        <f t="shared" si="130"/>
        <v>477.6712380952381</v>
      </c>
      <c r="G186" s="73">
        <f t="shared" si="130"/>
        <v>2009.9213333333332</v>
      </c>
      <c r="H186" s="11">
        <f t="shared" si="130"/>
        <v>4.5686666666666671</v>
      </c>
      <c r="I186" s="103"/>
      <c r="J186" s="142"/>
    </row>
    <row r="187" spans="1:10" ht="16.5" thickBot="1" x14ac:dyDescent="0.25">
      <c r="A187" s="53" t="s">
        <v>10</v>
      </c>
      <c r="B187" s="60">
        <f>B186+B179+B171+B168</f>
        <v>1395</v>
      </c>
      <c r="C187" s="54">
        <f t="shared" ref="C187:H187" si="131">C168+C179+C186+C171</f>
        <v>47.845285714285716</v>
      </c>
      <c r="D187" s="54">
        <f t="shared" si="131"/>
        <v>49.936253968253965</v>
      </c>
      <c r="E187" s="54">
        <f t="shared" si="131"/>
        <v>227.95138888888886</v>
      </c>
      <c r="F187" s="60">
        <f t="shared" si="131"/>
        <v>1552.6129841269842</v>
      </c>
      <c r="G187" s="60">
        <f t="shared" si="131"/>
        <v>6536.1848650793645</v>
      </c>
      <c r="H187" s="54">
        <f t="shared" si="131"/>
        <v>28.670888888888886</v>
      </c>
      <c r="I187" s="110"/>
    </row>
    <row r="188" spans="1:10" ht="16.5" thickBot="1" x14ac:dyDescent="0.25">
      <c r="A188" s="178" t="s">
        <v>6</v>
      </c>
      <c r="B188" s="179">
        <v>8</v>
      </c>
      <c r="C188" s="18"/>
      <c r="D188" s="18"/>
      <c r="E188" s="18"/>
      <c r="F188" s="91"/>
      <c r="G188" s="138"/>
      <c r="H188" s="137"/>
      <c r="I188" s="182"/>
    </row>
    <row r="189" spans="1:10" ht="15.75" x14ac:dyDescent="0.2">
      <c r="A189" s="71" t="s">
        <v>21</v>
      </c>
      <c r="B189" s="38"/>
      <c r="C189" s="38"/>
      <c r="D189" s="38"/>
      <c r="E189" s="38"/>
      <c r="F189" s="146"/>
      <c r="G189" s="146"/>
      <c r="H189" s="38"/>
      <c r="I189" s="108"/>
      <c r="J189" s="142"/>
    </row>
    <row r="190" spans="1:10" ht="15.75" x14ac:dyDescent="0.25">
      <c r="A190" s="64" t="s">
        <v>82</v>
      </c>
      <c r="B190" s="25">
        <v>150</v>
      </c>
      <c r="C190" s="26">
        <f>150/200*6.6</f>
        <v>4.9499999999999993</v>
      </c>
      <c r="D190" s="26">
        <f>150/200*9</f>
        <v>6.75</v>
      </c>
      <c r="E190" s="26">
        <f>150/200*20.64</f>
        <v>15.48</v>
      </c>
      <c r="F190" s="89">
        <f t="shared" ref="F190" si="132">(C190+E190)*4+D190*9</f>
        <v>142.47</v>
      </c>
      <c r="G190" s="89">
        <f t="shared" ref="G190" si="133">(C190+E190)*17+D190*37</f>
        <v>597.05999999999995</v>
      </c>
      <c r="H190" s="31">
        <f>150/200*0.9</f>
        <v>0.67500000000000004</v>
      </c>
      <c r="I190" s="96">
        <v>93</v>
      </c>
      <c r="J190" s="142"/>
    </row>
    <row r="191" spans="1:10" ht="15.75" x14ac:dyDescent="0.25">
      <c r="A191" s="4" t="s">
        <v>41</v>
      </c>
      <c r="B191" s="8" t="s">
        <v>53</v>
      </c>
      <c r="C191" s="6">
        <v>2.4</v>
      </c>
      <c r="D191" s="6">
        <v>7.5</v>
      </c>
      <c r="E191" s="6">
        <v>14.9</v>
      </c>
      <c r="F191" s="89">
        <f t="shared" ref="F191:F192" si="134">(C191+E191)*4+D191*9</f>
        <v>136.69999999999999</v>
      </c>
      <c r="G191" s="89">
        <f t="shared" ref="G191:G192" si="135">(C191+E191)*17+D191*37</f>
        <v>571.6</v>
      </c>
      <c r="H191" s="13">
        <v>0</v>
      </c>
      <c r="I191" s="89">
        <v>1</v>
      </c>
      <c r="J191" s="142"/>
    </row>
    <row r="192" spans="1:10" ht="15.75" x14ac:dyDescent="0.25">
      <c r="A192" s="4" t="s">
        <v>63</v>
      </c>
      <c r="B192" s="5">
        <f>150/200*200</f>
        <v>150</v>
      </c>
      <c r="C192" s="6">
        <v>2.2000000000000002</v>
      </c>
      <c r="D192" s="6">
        <f>150/200*2.5</f>
        <v>1.875</v>
      </c>
      <c r="E192" s="6">
        <v>13.3</v>
      </c>
      <c r="F192" s="89">
        <f t="shared" si="134"/>
        <v>78.875</v>
      </c>
      <c r="G192" s="89">
        <f t="shared" si="135"/>
        <v>332.875</v>
      </c>
      <c r="H192" s="13">
        <v>0.5</v>
      </c>
      <c r="I192" s="89" t="s">
        <v>81</v>
      </c>
    </row>
    <row r="193" spans="1:10" ht="16.5" thickBot="1" x14ac:dyDescent="0.25">
      <c r="A193" s="9" t="s">
        <v>1</v>
      </c>
      <c r="B193" s="11">
        <f>B190+40+B192</f>
        <v>340</v>
      </c>
      <c r="C193" s="11">
        <f t="shared" ref="C193:H193" si="136">SUM(C190:C192)</f>
        <v>9.5500000000000007</v>
      </c>
      <c r="D193" s="11">
        <f t="shared" si="136"/>
        <v>16.125</v>
      </c>
      <c r="E193" s="11">
        <f t="shared" si="136"/>
        <v>43.680000000000007</v>
      </c>
      <c r="F193" s="73">
        <f t="shared" si="136"/>
        <v>358.04499999999996</v>
      </c>
      <c r="G193" s="73">
        <f t="shared" si="136"/>
        <v>1501.5349999999999</v>
      </c>
      <c r="H193" s="41">
        <f t="shared" si="136"/>
        <v>1.175</v>
      </c>
      <c r="I193" s="103"/>
      <c r="J193" s="142"/>
    </row>
    <row r="194" spans="1:10" ht="15.75" x14ac:dyDescent="0.2">
      <c r="A194" s="71" t="s">
        <v>35</v>
      </c>
      <c r="B194" s="38"/>
      <c r="C194" s="38"/>
      <c r="D194" s="38"/>
      <c r="E194" s="38"/>
      <c r="F194" s="146"/>
      <c r="G194" s="146"/>
      <c r="H194" s="38"/>
      <c r="I194" s="105"/>
    </row>
    <row r="195" spans="1:10" ht="16.5" thickBot="1" x14ac:dyDescent="0.3">
      <c r="A195" s="76" t="s">
        <v>71</v>
      </c>
      <c r="B195" s="77">
        <v>100</v>
      </c>
      <c r="C195" s="78">
        <v>0.4</v>
      </c>
      <c r="D195" s="78">
        <v>0.3</v>
      </c>
      <c r="E195" s="78">
        <v>8.6</v>
      </c>
      <c r="F195" s="104">
        <f t="shared" ref="F195" si="137">(C195+E195)*4+D195*9</f>
        <v>38.700000000000003</v>
      </c>
      <c r="G195" s="104">
        <f t="shared" ref="G195" si="138">(C195+E195)*17+D195*37</f>
        <v>164.1</v>
      </c>
      <c r="H195" s="79">
        <v>0.7</v>
      </c>
      <c r="I195" s="112">
        <v>368</v>
      </c>
    </row>
    <row r="196" spans="1:10" ht="16.5" thickBot="1" x14ac:dyDescent="0.3">
      <c r="A196" s="19" t="s">
        <v>1</v>
      </c>
      <c r="B196" s="16">
        <f t="shared" ref="B196:H196" si="139">SUM(B195:B195)</f>
        <v>100</v>
      </c>
      <c r="C196" s="20">
        <f t="shared" si="139"/>
        <v>0.4</v>
      </c>
      <c r="D196" s="20">
        <f t="shared" si="139"/>
        <v>0.3</v>
      </c>
      <c r="E196" s="20">
        <f t="shared" si="139"/>
        <v>8.6</v>
      </c>
      <c r="F196" s="95">
        <f t="shared" si="139"/>
        <v>38.700000000000003</v>
      </c>
      <c r="G196" s="95">
        <f t="shared" si="139"/>
        <v>164.1</v>
      </c>
      <c r="H196" s="20">
        <f t="shared" si="139"/>
        <v>0.7</v>
      </c>
      <c r="I196" s="133"/>
      <c r="J196" s="142"/>
    </row>
    <row r="197" spans="1:10" ht="15.75" x14ac:dyDescent="0.25">
      <c r="A197" s="71" t="s">
        <v>3</v>
      </c>
      <c r="B197" s="38"/>
      <c r="C197" s="38"/>
      <c r="D197" s="38"/>
      <c r="E197" s="38"/>
      <c r="F197" s="146"/>
      <c r="G197" s="146"/>
      <c r="H197" s="38"/>
      <c r="I197" s="111"/>
      <c r="J197" s="142"/>
    </row>
    <row r="198" spans="1:10" ht="15.75" x14ac:dyDescent="0.25">
      <c r="A198" s="4" t="s">
        <v>126</v>
      </c>
      <c r="B198" s="25">
        <f>30/50*50</f>
        <v>30</v>
      </c>
      <c r="C198" s="26">
        <f>30/50*50/70*0.3</f>
        <v>0.12857142857142856</v>
      </c>
      <c r="D198" s="26">
        <f>30/50*50/70*5</f>
        <v>2.1428571428571428</v>
      </c>
      <c r="E198" s="26">
        <f>30/50*50/70*1.7</f>
        <v>0.72857142857142854</v>
      </c>
      <c r="F198" s="89">
        <f t="shared" ref="F198" si="140">(C198+E198)*4+D198*9</f>
        <v>22.714285714285712</v>
      </c>
      <c r="G198" s="89">
        <f t="shared" ref="G198" si="141">(C198+E198)*17+D198*37</f>
        <v>93.857142857142847</v>
      </c>
      <c r="H198" s="46">
        <f>30/50*8</f>
        <v>4.8</v>
      </c>
      <c r="I198" s="89" t="s">
        <v>81</v>
      </c>
      <c r="J198" s="142"/>
    </row>
    <row r="199" spans="1:10" ht="31.5" x14ac:dyDescent="0.25">
      <c r="A199" s="24" t="s">
        <v>49</v>
      </c>
      <c r="B199" s="29" t="s">
        <v>162</v>
      </c>
      <c r="C199" s="30">
        <f>156/210*4.1</f>
        <v>3.0457142857142854</v>
      </c>
      <c r="D199" s="30">
        <f>156/210*4.9</f>
        <v>3.6400000000000006</v>
      </c>
      <c r="E199" s="30">
        <f>156/210*19.9</f>
        <v>14.782857142857143</v>
      </c>
      <c r="F199" s="89">
        <f>(C199+E199)*4+D199*9</f>
        <v>104.07428571428572</v>
      </c>
      <c r="G199" s="89">
        <f>(C199+E199)*17+D199*37</f>
        <v>437.7657142857143</v>
      </c>
      <c r="H199" s="47">
        <f>156/210*5.7</f>
        <v>4.2342857142857149</v>
      </c>
      <c r="I199" s="89" t="s">
        <v>81</v>
      </c>
      <c r="J199" s="142"/>
    </row>
    <row r="200" spans="1:10" ht="15.75" x14ac:dyDescent="0.25">
      <c r="A200" s="24" t="s">
        <v>95</v>
      </c>
      <c r="B200" s="25" t="s">
        <v>172</v>
      </c>
      <c r="C200" s="26">
        <f>55/75*10</f>
        <v>7.333333333333333</v>
      </c>
      <c r="D200" s="26">
        <f>55/75*75/85*13.3</f>
        <v>8.6058823529411761</v>
      </c>
      <c r="E200" s="26">
        <f>55/75*75/85*4.9</f>
        <v>3.1705882352941175</v>
      </c>
      <c r="F200" s="89">
        <f t="shared" ref="F200:F202" si="142">(C200+E200)*4+D200*9</f>
        <v>119.46862745098039</v>
      </c>
      <c r="G200" s="89">
        <f t="shared" ref="G200:G202" si="143">(C200+E200)*17+D200*37</f>
        <v>496.98431372549015</v>
      </c>
      <c r="H200" s="31">
        <f>55/75*75/85*0.5</f>
        <v>0.32352941176470584</v>
      </c>
      <c r="I200" s="89">
        <v>312</v>
      </c>
      <c r="J200" s="142"/>
    </row>
    <row r="201" spans="1:10" ht="15.75" x14ac:dyDescent="0.25">
      <c r="A201" s="4" t="s">
        <v>142</v>
      </c>
      <c r="B201" s="25">
        <f>80/100*100</f>
        <v>80</v>
      </c>
      <c r="C201" s="26">
        <f>80/100*4.2</f>
        <v>3.3600000000000003</v>
      </c>
      <c r="D201" s="26">
        <f>80/100*3</f>
        <v>2.4000000000000004</v>
      </c>
      <c r="E201" s="26">
        <f>80/100*25.2</f>
        <v>20.16</v>
      </c>
      <c r="F201" s="26">
        <f t="shared" si="142"/>
        <v>115.68</v>
      </c>
      <c r="G201" s="26">
        <f t="shared" si="143"/>
        <v>488.64</v>
      </c>
      <c r="H201" s="31">
        <v>0</v>
      </c>
      <c r="I201" s="89">
        <v>313</v>
      </c>
      <c r="J201" s="142"/>
    </row>
    <row r="202" spans="1:10" ht="15.75" x14ac:dyDescent="0.25">
      <c r="A202" s="4" t="s">
        <v>99</v>
      </c>
      <c r="B202" s="29">
        <f>150/180*180</f>
        <v>150</v>
      </c>
      <c r="C202" s="26">
        <f>150/180*0.1</f>
        <v>8.3333333333333343E-2</v>
      </c>
      <c r="D202" s="26">
        <v>0</v>
      </c>
      <c r="E202" s="26">
        <f>150/180*16.7</f>
        <v>13.916666666666666</v>
      </c>
      <c r="F202" s="89">
        <f t="shared" si="142"/>
        <v>56</v>
      </c>
      <c r="G202" s="89">
        <f t="shared" si="143"/>
        <v>238</v>
      </c>
      <c r="H202" s="46">
        <f>150/180*1.58</f>
        <v>1.3166666666666669</v>
      </c>
      <c r="I202" s="89">
        <v>377</v>
      </c>
      <c r="J202" s="142"/>
    </row>
    <row r="203" spans="1:10" ht="15.75" x14ac:dyDescent="0.25">
      <c r="A203" s="4" t="s">
        <v>4</v>
      </c>
      <c r="B203" s="25">
        <f>25/35*35</f>
        <v>25</v>
      </c>
      <c r="C203" s="31">
        <f>25/35*2.3</f>
        <v>1.6428571428571428</v>
      </c>
      <c r="D203" s="31">
        <f>25/35*0.4</f>
        <v>0.28571428571428575</v>
      </c>
      <c r="E203" s="31">
        <f>25/35*8.3</f>
        <v>5.9285714285714288</v>
      </c>
      <c r="F203" s="89">
        <f t="shared" ref="F203:F204" si="144">(C203+E203)*4+D203*9</f>
        <v>32.857142857142854</v>
      </c>
      <c r="G203" s="89">
        <f t="shared" ref="G203:G204" si="145">(C203+E203)*17+D203*37</f>
        <v>139.28571428571431</v>
      </c>
      <c r="H203" s="31">
        <v>0</v>
      </c>
      <c r="I203" s="89"/>
      <c r="J203" s="142"/>
    </row>
    <row r="204" spans="1:10" ht="15.75" x14ac:dyDescent="0.25">
      <c r="A204" s="4" t="s">
        <v>0</v>
      </c>
      <c r="B204" s="25">
        <f>25/35*35</f>
        <v>25</v>
      </c>
      <c r="C204" s="31">
        <f>25/35*2.7</f>
        <v>1.9285714285714288</v>
      </c>
      <c r="D204" s="31">
        <f>25/35*0.3</f>
        <v>0.21428571428571427</v>
      </c>
      <c r="E204" s="31">
        <f>25/35*17.2</f>
        <v>12.285714285714285</v>
      </c>
      <c r="F204" s="89">
        <f t="shared" si="144"/>
        <v>58.785714285714285</v>
      </c>
      <c r="G204" s="89">
        <f t="shared" si="145"/>
        <v>249.57142857142856</v>
      </c>
      <c r="H204" s="31">
        <v>0</v>
      </c>
      <c r="I204" s="113"/>
    </row>
    <row r="205" spans="1:10" ht="16.5" thickBot="1" x14ac:dyDescent="0.3">
      <c r="A205" s="21" t="s">
        <v>1</v>
      </c>
      <c r="B205" s="32">
        <f>B198+156+55+B201+B202+B203+B204</f>
        <v>521</v>
      </c>
      <c r="C205" s="33">
        <f>SUM(C198:C204)</f>
        <v>17.522380952380953</v>
      </c>
      <c r="D205" s="33">
        <f t="shared" ref="D205:H205" si="146">SUM(D198:D204)</f>
        <v>17.288739495798318</v>
      </c>
      <c r="E205" s="33">
        <f t="shared" si="146"/>
        <v>70.972969187675062</v>
      </c>
      <c r="F205" s="151">
        <f>SUM(F198:F204)</f>
        <v>509.58005602240894</v>
      </c>
      <c r="G205" s="151">
        <f t="shared" si="146"/>
        <v>2144.1043137254901</v>
      </c>
      <c r="H205" s="33">
        <f t="shared" si="146"/>
        <v>10.674481792717089</v>
      </c>
      <c r="I205" s="57"/>
      <c r="J205" s="142"/>
    </row>
    <row r="206" spans="1:10" ht="15.75" x14ac:dyDescent="0.2">
      <c r="A206" s="71" t="s">
        <v>5</v>
      </c>
      <c r="B206" s="38"/>
      <c r="C206" s="38"/>
      <c r="D206" s="38"/>
      <c r="E206" s="38"/>
      <c r="F206" s="146"/>
      <c r="G206" s="146"/>
      <c r="H206" s="38"/>
      <c r="I206" s="97"/>
      <c r="J206" s="142"/>
    </row>
    <row r="207" spans="1:10" ht="15.75" x14ac:dyDescent="0.25">
      <c r="A207" s="4" t="s">
        <v>154</v>
      </c>
      <c r="B207" s="25">
        <v>50</v>
      </c>
      <c r="C207" s="30">
        <f>1.7/2</f>
        <v>0.85</v>
      </c>
      <c r="D207" s="30">
        <v>2.2999999999999998</v>
      </c>
      <c r="E207" s="30">
        <v>9.1</v>
      </c>
      <c r="F207" s="89">
        <f>(C207+E207)*4+D207*9</f>
        <v>60.5</v>
      </c>
      <c r="G207" s="89">
        <f>(C207+E207)*17+D207*37</f>
        <v>254.24999999999997</v>
      </c>
      <c r="H207" s="47">
        <v>6</v>
      </c>
      <c r="I207" s="94"/>
      <c r="J207" s="142"/>
    </row>
    <row r="208" spans="1:10" ht="15.75" x14ac:dyDescent="0.25">
      <c r="A208" s="4" t="s">
        <v>65</v>
      </c>
      <c r="B208" s="25" t="s">
        <v>171</v>
      </c>
      <c r="C208" s="30">
        <f>115/135*17</f>
        <v>14.481481481481481</v>
      </c>
      <c r="D208" s="30">
        <f>115/135*8.5</f>
        <v>7.2407407407407405</v>
      </c>
      <c r="E208" s="30">
        <f>115/135*19.7</f>
        <v>16.781481481481482</v>
      </c>
      <c r="F208" s="89">
        <f>(C208+E208)*4+D208*9</f>
        <v>190.21851851851852</v>
      </c>
      <c r="G208" s="89">
        <f>(C208+E208)*17+D208*37</f>
        <v>799.37777777777774</v>
      </c>
      <c r="H208" s="47">
        <f>115/135*3.1</f>
        <v>2.6407407407407408</v>
      </c>
      <c r="I208" s="97" t="s">
        <v>81</v>
      </c>
      <c r="J208" s="142"/>
    </row>
    <row r="209" spans="1:10" ht="15.75" x14ac:dyDescent="0.25">
      <c r="A209" s="4" t="s">
        <v>137</v>
      </c>
      <c r="B209" s="25">
        <v>60</v>
      </c>
      <c r="C209" s="72">
        <v>4</v>
      </c>
      <c r="D209" s="72">
        <v>3.8</v>
      </c>
      <c r="E209" s="72">
        <v>23.5</v>
      </c>
      <c r="F209" s="89">
        <f t="shared" ref="F209:F210" si="147">(C209+E209)*4+D209*9</f>
        <v>144.19999999999999</v>
      </c>
      <c r="G209" s="97">
        <f t="shared" ref="G209:G210" si="148">(C209+E209)*17+D209*37</f>
        <v>608.1</v>
      </c>
      <c r="H209" s="48">
        <v>0</v>
      </c>
      <c r="I209" s="102" t="s">
        <v>81</v>
      </c>
      <c r="J209" s="142"/>
    </row>
    <row r="210" spans="1:10" ht="15.75" x14ac:dyDescent="0.25">
      <c r="A210" s="4" t="s">
        <v>23</v>
      </c>
      <c r="B210" s="42">
        <f>150/180*180</f>
        <v>150</v>
      </c>
      <c r="C210" s="6">
        <v>0</v>
      </c>
      <c r="D210" s="6">
        <v>0</v>
      </c>
      <c r="E210" s="6">
        <f>150/180*7.2</f>
        <v>6</v>
      </c>
      <c r="F210" s="89">
        <f t="shared" si="147"/>
        <v>24</v>
      </c>
      <c r="G210" s="89">
        <f t="shared" si="148"/>
        <v>102</v>
      </c>
      <c r="H210" s="127">
        <f>150/180*100</f>
        <v>83.333333333333343</v>
      </c>
      <c r="I210" s="94" t="s">
        <v>81</v>
      </c>
    </row>
    <row r="211" spans="1:10" ht="15.75" x14ac:dyDescent="0.25">
      <c r="A211" s="4" t="s">
        <v>0</v>
      </c>
      <c r="B211" s="5">
        <f>25/35*35</f>
        <v>25</v>
      </c>
      <c r="C211" s="6">
        <f>25/35*3</f>
        <v>2.1428571428571428</v>
      </c>
      <c r="D211" s="6">
        <f>25/35*0.5</f>
        <v>0.35714285714285715</v>
      </c>
      <c r="E211" s="6">
        <f>25/35*15.8</f>
        <v>11.285714285714286</v>
      </c>
      <c r="F211" s="97">
        <f t="shared" ref="F211" si="149">(C211+E211)*4+D211*9</f>
        <v>56.928571428571431</v>
      </c>
      <c r="G211" s="97">
        <f t="shared" ref="G211" si="150">(C211+E211)*17+D211*37</f>
        <v>241.5</v>
      </c>
      <c r="H211" s="13">
        <v>0</v>
      </c>
      <c r="I211" s="89"/>
    </row>
    <row r="212" spans="1:10" ht="16.5" thickBot="1" x14ac:dyDescent="0.3">
      <c r="A212" s="9" t="s">
        <v>1</v>
      </c>
      <c r="B212" s="27">
        <f>B207+115+B209+B210+B211</f>
        <v>400</v>
      </c>
      <c r="C212" s="28">
        <f t="shared" ref="C212:H212" si="151">SUM(C207:C211)</f>
        <v>21.474338624338625</v>
      </c>
      <c r="D212" s="28">
        <f t="shared" si="151"/>
        <v>13.6978835978836</v>
      </c>
      <c r="E212" s="28">
        <f t="shared" si="151"/>
        <v>66.667195767195764</v>
      </c>
      <c r="F212" s="57">
        <f t="shared" si="151"/>
        <v>475.84708994708996</v>
      </c>
      <c r="G212" s="57">
        <f t="shared" si="151"/>
        <v>2005.2277777777776</v>
      </c>
      <c r="H212" s="28">
        <f t="shared" si="151"/>
        <v>91.974074074074082</v>
      </c>
      <c r="I212" s="89"/>
      <c r="J212" s="142"/>
    </row>
    <row r="213" spans="1:10" ht="16.5" thickBot="1" x14ac:dyDescent="0.3">
      <c r="A213" s="53" t="s">
        <v>10</v>
      </c>
      <c r="B213" s="55">
        <f t="shared" ref="B213:H213" si="152">B212+B205+B196+B193</f>
        <v>1361</v>
      </c>
      <c r="C213" s="55">
        <f t="shared" si="152"/>
        <v>48.946719576719573</v>
      </c>
      <c r="D213" s="55">
        <f t="shared" si="152"/>
        <v>47.411623093681918</v>
      </c>
      <c r="E213" s="55">
        <f t="shared" si="152"/>
        <v>189.92016495487084</v>
      </c>
      <c r="F213" s="150">
        <f t="shared" si="152"/>
        <v>1382.1721459694991</v>
      </c>
      <c r="G213" s="150">
        <f t="shared" si="152"/>
        <v>5814.9670915032675</v>
      </c>
      <c r="H213" s="55">
        <f t="shared" si="152"/>
        <v>104.52355586679117</v>
      </c>
      <c r="I213" s="135"/>
      <c r="J213" s="174"/>
    </row>
    <row r="214" spans="1:10" ht="16.5" thickBot="1" x14ac:dyDescent="0.3">
      <c r="A214" s="178" t="s">
        <v>6</v>
      </c>
      <c r="B214" s="179">
        <v>9</v>
      </c>
      <c r="C214" s="18"/>
      <c r="D214" s="18"/>
      <c r="E214" s="18"/>
      <c r="F214" s="91"/>
      <c r="G214" s="91"/>
      <c r="H214" s="137"/>
      <c r="I214" s="183"/>
      <c r="J214" s="144"/>
    </row>
    <row r="215" spans="1:10" ht="15.75" x14ac:dyDescent="0.2">
      <c r="A215" s="71" t="s">
        <v>21</v>
      </c>
      <c r="B215" s="38"/>
      <c r="C215" s="38"/>
      <c r="D215" s="38"/>
      <c r="E215" s="38"/>
      <c r="F215" s="146"/>
      <c r="G215" s="146"/>
      <c r="H215" s="38"/>
      <c r="I215" s="93"/>
      <c r="J215" s="142"/>
    </row>
    <row r="216" spans="1:10" ht="15.75" x14ac:dyDescent="0.2">
      <c r="A216" s="4" t="s">
        <v>87</v>
      </c>
      <c r="B216" s="44">
        <v>150</v>
      </c>
      <c r="C216" s="44">
        <v>4.4000000000000004</v>
      </c>
      <c r="D216" s="44">
        <v>6.2</v>
      </c>
      <c r="E216" s="44">
        <v>21.1</v>
      </c>
      <c r="F216" s="129">
        <f>(C216+E216)*4+D216*9</f>
        <v>157.80000000000001</v>
      </c>
      <c r="G216" s="97">
        <f>(C216+E216)*17+D216*37</f>
        <v>662.9</v>
      </c>
      <c r="H216" s="13">
        <v>0.7</v>
      </c>
      <c r="I216" s="97" t="s">
        <v>81</v>
      </c>
      <c r="J216" s="142"/>
    </row>
    <row r="217" spans="1:10" ht="15.75" x14ac:dyDescent="0.25">
      <c r="A217" s="4" t="s">
        <v>147</v>
      </c>
      <c r="B217" s="42">
        <f>150/180*180</f>
        <v>150</v>
      </c>
      <c r="C217" s="44">
        <f>150/180*200/180*4.12</f>
        <v>3.8148148148148153</v>
      </c>
      <c r="D217" s="44">
        <f>150/180*200/180*4.53</f>
        <v>4.1944444444444455</v>
      </c>
      <c r="E217" s="44">
        <f>150/180*200/180*19.35</f>
        <v>17.916666666666671</v>
      </c>
      <c r="F217" s="129">
        <f t="shared" ref="F217:F218" si="153">(C217+E217)*4+D217*9</f>
        <v>124.67592592592595</v>
      </c>
      <c r="G217" s="97">
        <f t="shared" ref="G217:G218" si="154">(C217+E217)*17+D217*37</f>
        <v>524.62962962962979</v>
      </c>
      <c r="H217" s="31">
        <f>150/180*200/180*6.6</f>
        <v>6.1111111111111116</v>
      </c>
      <c r="I217" s="94" t="s">
        <v>81</v>
      </c>
    </row>
    <row r="218" spans="1:10" ht="15.75" x14ac:dyDescent="0.25">
      <c r="A218" s="4" t="s">
        <v>173</v>
      </c>
      <c r="B218" s="8" t="s">
        <v>83</v>
      </c>
      <c r="C218" s="6">
        <v>2.8</v>
      </c>
      <c r="D218" s="6">
        <v>3.9</v>
      </c>
      <c r="E218" s="6">
        <v>28.4</v>
      </c>
      <c r="F218" s="89">
        <f t="shared" si="153"/>
        <v>159.9</v>
      </c>
      <c r="G218" s="89">
        <f t="shared" si="154"/>
        <v>674.69999999999993</v>
      </c>
      <c r="H218" s="45">
        <v>0.1</v>
      </c>
      <c r="I218" s="89">
        <v>2</v>
      </c>
      <c r="J218" s="142"/>
    </row>
    <row r="219" spans="1:10" ht="16.5" thickBot="1" x14ac:dyDescent="0.3">
      <c r="A219" s="9" t="s">
        <v>1</v>
      </c>
      <c r="B219" s="124">
        <f>B216+B217+55</f>
        <v>355</v>
      </c>
      <c r="C219" s="28">
        <f>SUM(C216:C218)</f>
        <v>11.014814814814816</v>
      </c>
      <c r="D219" s="28">
        <f>SUM(D216:D218)</f>
        <v>14.294444444444446</v>
      </c>
      <c r="E219" s="28">
        <f>SUM(E216:E218)</f>
        <v>67.416666666666671</v>
      </c>
      <c r="F219" s="57">
        <f t="shared" ref="F219:H219" si="155">SUM(F216:F218)</f>
        <v>442.37592592592591</v>
      </c>
      <c r="G219" s="57">
        <f t="shared" si="155"/>
        <v>1862.2296296296295</v>
      </c>
      <c r="H219" s="28">
        <f t="shared" si="155"/>
        <v>6.9111111111111114</v>
      </c>
      <c r="I219" s="114"/>
    </row>
    <row r="220" spans="1:10" ht="15.75" x14ac:dyDescent="0.25">
      <c r="A220" s="71" t="s">
        <v>35</v>
      </c>
      <c r="B220" s="38"/>
      <c r="C220" s="38"/>
      <c r="D220" s="38"/>
      <c r="E220" s="38"/>
      <c r="F220" s="146"/>
      <c r="G220" s="146"/>
      <c r="H220" s="38"/>
      <c r="I220" s="111"/>
    </row>
    <row r="221" spans="1:10" ht="16.5" thickBot="1" x14ac:dyDescent="0.3">
      <c r="A221" s="4" t="s">
        <v>136</v>
      </c>
      <c r="B221" s="25">
        <f>150/180*180</f>
        <v>150</v>
      </c>
      <c r="C221" s="31">
        <f>150/180*0.9</f>
        <v>0.75</v>
      </c>
      <c r="D221" s="31">
        <f>150/180*0.2</f>
        <v>0.16666666666666669</v>
      </c>
      <c r="E221" s="31">
        <f>150/180*18.2</f>
        <v>15.166666666666666</v>
      </c>
      <c r="F221" s="89">
        <f t="shared" ref="F221" si="156">(C221+E221)*4+D221*9</f>
        <v>65.166666666666671</v>
      </c>
      <c r="G221" s="89">
        <f t="shared" ref="G221" si="157">(C221+E221)*17+D221*37</f>
        <v>276.75</v>
      </c>
      <c r="H221" s="46">
        <f>150/180*2</f>
        <v>1.6666666666666667</v>
      </c>
      <c r="I221" s="89">
        <v>399</v>
      </c>
    </row>
    <row r="222" spans="1:10" ht="16.5" thickBot="1" x14ac:dyDescent="0.3">
      <c r="A222" s="23" t="s">
        <v>1</v>
      </c>
      <c r="B222" s="74">
        <f t="shared" ref="B222:H222" si="158">SUM(B221:B221)</f>
        <v>150</v>
      </c>
      <c r="C222" s="35">
        <f t="shared" si="158"/>
        <v>0.75</v>
      </c>
      <c r="D222" s="35">
        <f t="shared" si="158"/>
        <v>0.16666666666666669</v>
      </c>
      <c r="E222" s="35">
        <f t="shared" si="158"/>
        <v>15.166666666666666</v>
      </c>
      <c r="F222" s="152">
        <f t="shared" si="158"/>
        <v>65.166666666666671</v>
      </c>
      <c r="G222" s="152">
        <f t="shared" si="158"/>
        <v>276.75</v>
      </c>
      <c r="H222" s="35">
        <f t="shared" si="158"/>
        <v>1.6666666666666667</v>
      </c>
      <c r="I222" s="136"/>
      <c r="J222" s="144"/>
    </row>
    <row r="223" spans="1:10" ht="15.75" x14ac:dyDescent="0.25">
      <c r="A223" s="80" t="s">
        <v>3</v>
      </c>
      <c r="B223" s="80"/>
      <c r="C223" s="80"/>
      <c r="D223" s="80"/>
      <c r="E223" s="80"/>
      <c r="F223" s="153"/>
      <c r="G223" s="153"/>
      <c r="H223" s="80"/>
      <c r="I223" s="111"/>
      <c r="J223" s="142"/>
    </row>
    <row r="224" spans="1:10" ht="15.75" x14ac:dyDescent="0.25">
      <c r="A224" s="4" t="s">
        <v>39</v>
      </c>
      <c r="B224" s="5">
        <f>30/50*50</f>
        <v>30</v>
      </c>
      <c r="C224" s="44">
        <f>30/50*0.5*1.3</f>
        <v>0.39</v>
      </c>
      <c r="D224" s="44">
        <v>1.8</v>
      </c>
      <c r="E224" s="44">
        <f>30/50*4.3</f>
        <v>2.5799999999999996</v>
      </c>
      <c r="F224" s="97">
        <f t="shared" ref="F224" si="159">(C224+E224)*4+D224*9</f>
        <v>28.08</v>
      </c>
      <c r="G224" s="97">
        <f t="shared" ref="G224" si="160">(C224+E224)*17+D224*37</f>
        <v>117.09</v>
      </c>
      <c r="H224" s="13">
        <v>3.4</v>
      </c>
      <c r="I224" s="89">
        <v>45</v>
      </c>
    </row>
    <row r="225" spans="1:10" ht="15.75" x14ac:dyDescent="0.25">
      <c r="A225" s="4" t="s">
        <v>61</v>
      </c>
      <c r="B225" s="25">
        <f>150/200*200</f>
        <v>150</v>
      </c>
      <c r="C225" s="26">
        <f>150/200*7.8</f>
        <v>5.85</v>
      </c>
      <c r="D225" s="26">
        <f>150/200*4.5</f>
        <v>3.375</v>
      </c>
      <c r="E225" s="26">
        <f>150/200*16.8</f>
        <v>12.600000000000001</v>
      </c>
      <c r="F225" s="97">
        <f t="shared" ref="F225:F229" si="161">(C225+E225)*4+D225*9</f>
        <v>104.17500000000001</v>
      </c>
      <c r="G225" s="97">
        <f t="shared" ref="G225:G229" si="162">(C225+E225)*17+D225*37</f>
        <v>438.52500000000003</v>
      </c>
      <c r="H225" s="31">
        <f>150/200*13.2</f>
        <v>9.8999999999999986</v>
      </c>
      <c r="I225" s="89" t="s">
        <v>81</v>
      </c>
      <c r="J225" s="142"/>
    </row>
    <row r="226" spans="1:10" ht="15.75" x14ac:dyDescent="0.25">
      <c r="A226" s="24" t="s">
        <v>40</v>
      </c>
      <c r="B226" s="29">
        <v>130</v>
      </c>
      <c r="C226" s="30">
        <v>7</v>
      </c>
      <c r="D226" s="30">
        <v>10</v>
      </c>
      <c r="E226" s="30">
        <v>12</v>
      </c>
      <c r="F226" s="106">
        <f>(C226+E226)*4+D226*9</f>
        <v>166</v>
      </c>
      <c r="G226" s="106">
        <f>(C226+E226)*17+D226*37</f>
        <v>693</v>
      </c>
      <c r="H226" s="47">
        <v>3.7</v>
      </c>
      <c r="I226" s="89" t="s">
        <v>81</v>
      </c>
      <c r="J226" s="142"/>
    </row>
    <row r="227" spans="1:10" ht="15.75" x14ac:dyDescent="0.2">
      <c r="A227" s="4" t="s">
        <v>94</v>
      </c>
      <c r="B227" s="42">
        <f>150/180*180</f>
        <v>150</v>
      </c>
      <c r="C227" s="6">
        <v>0.2</v>
      </c>
      <c r="D227" s="6">
        <v>0</v>
      </c>
      <c r="E227" s="6">
        <v>12.6</v>
      </c>
      <c r="F227" s="97">
        <f>(C227+E227)*4+D227*9</f>
        <v>51.199999999999996</v>
      </c>
      <c r="G227" s="97">
        <f>(C227+E227)*17+D227*37</f>
        <v>217.6</v>
      </c>
      <c r="H227" s="13">
        <f>150/180*5</f>
        <v>4.166666666666667</v>
      </c>
      <c r="I227" s="94" t="s">
        <v>81</v>
      </c>
      <c r="J227" s="142"/>
    </row>
    <row r="228" spans="1:10" ht="15.75" x14ac:dyDescent="0.2">
      <c r="A228" s="4" t="s">
        <v>4</v>
      </c>
      <c r="B228" s="5">
        <f>25/35*35</f>
        <v>25</v>
      </c>
      <c r="C228" s="13">
        <f>25/35*2.3</f>
        <v>1.6428571428571428</v>
      </c>
      <c r="D228" s="13">
        <f>25/35*0.4</f>
        <v>0.28571428571428575</v>
      </c>
      <c r="E228" s="13">
        <f>25/35*8.3</f>
        <v>5.9285714285714288</v>
      </c>
      <c r="F228" s="97">
        <f t="shared" si="161"/>
        <v>32.857142857142854</v>
      </c>
      <c r="G228" s="97">
        <f t="shared" si="162"/>
        <v>139.28571428571431</v>
      </c>
      <c r="H228" s="13">
        <v>0</v>
      </c>
      <c r="I228" s="97"/>
      <c r="J228" s="142"/>
    </row>
    <row r="229" spans="1:10" ht="15.75" x14ac:dyDescent="0.2">
      <c r="A229" s="4" t="s">
        <v>0</v>
      </c>
      <c r="B229" s="5">
        <f>25/35*35</f>
        <v>25</v>
      </c>
      <c r="C229" s="13">
        <f>25/35*2.7</f>
        <v>1.9285714285714288</v>
      </c>
      <c r="D229" s="13">
        <f>25/35*0.3</f>
        <v>0.21428571428571427</v>
      </c>
      <c r="E229" s="13">
        <f>25/35*17.2</f>
        <v>12.285714285714285</v>
      </c>
      <c r="F229" s="97">
        <f t="shared" si="161"/>
        <v>58.785714285714285</v>
      </c>
      <c r="G229" s="97">
        <f t="shared" si="162"/>
        <v>249.57142857142856</v>
      </c>
      <c r="H229" s="13">
        <v>0</v>
      </c>
      <c r="I229" s="97"/>
      <c r="J229" s="142"/>
    </row>
    <row r="230" spans="1:10" ht="16.5" thickBot="1" x14ac:dyDescent="0.3">
      <c r="A230" s="9" t="s">
        <v>1</v>
      </c>
      <c r="B230" s="27">
        <f t="shared" ref="B230:H230" si="163">SUM(B224:B229)</f>
        <v>510</v>
      </c>
      <c r="C230" s="28">
        <f t="shared" si="163"/>
        <v>17.011428571428567</v>
      </c>
      <c r="D230" s="28">
        <f t="shared" si="163"/>
        <v>15.675000000000001</v>
      </c>
      <c r="E230" s="28">
        <f t="shared" si="163"/>
        <v>57.994285714285716</v>
      </c>
      <c r="F230" s="57">
        <f t="shared" si="163"/>
        <v>441.09785714285709</v>
      </c>
      <c r="G230" s="57">
        <f t="shared" si="163"/>
        <v>1855.0721428571428</v>
      </c>
      <c r="H230" s="81">
        <f t="shared" si="163"/>
        <v>21.166666666666668</v>
      </c>
      <c r="I230" s="73"/>
      <c r="J230" s="142"/>
    </row>
    <row r="231" spans="1:10" ht="15.75" x14ac:dyDescent="0.2">
      <c r="A231" s="71" t="s">
        <v>5</v>
      </c>
      <c r="B231" s="38"/>
      <c r="C231" s="38"/>
      <c r="D231" s="38"/>
      <c r="E231" s="38"/>
      <c r="F231" s="146"/>
      <c r="G231" s="146"/>
      <c r="H231" s="38"/>
      <c r="I231" s="184"/>
    </row>
    <row r="232" spans="1:10" ht="15.75" x14ac:dyDescent="0.25">
      <c r="A232" s="4" t="s">
        <v>148</v>
      </c>
      <c r="B232" s="25">
        <f>30/50*50</f>
        <v>30</v>
      </c>
      <c r="C232" s="61">
        <f>30/50*0.7</f>
        <v>0.42</v>
      </c>
      <c r="D232" s="61">
        <f>30/50*2.3</f>
        <v>1.38</v>
      </c>
      <c r="E232" s="61">
        <f>30/50*5.15</f>
        <v>3.0900000000000003</v>
      </c>
      <c r="F232" s="89">
        <f>(C232+E232)*4+D232*9</f>
        <v>26.46</v>
      </c>
      <c r="G232" s="89">
        <f>(C232+E232)*17+D232*37</f>
        <v>110.72999999999999</v>
      </c>
      <c r="H232" s="61">
        <f>30/50*7.5</f>
        <v>4.5</v>
      </c>
      <c r="I232" s="100"/>
      <c r="J232" s="142"/>
    </row>
    <row r="233" spans="1:10" ht="15.75" x14ac:dyDescent="0.25">
      <c r="A233" s="4" t="s">
        <v>138</v>
      </c>
      <c r="B233" s="25" t="s">
        <v>174</v>
      </c>
      <c r="C233" s="30">
        <f>120/150*18</f>
        <v>14.4</v>
      </c>
      <c r="D233" s="30">
        <f>120/150*12</f>
        <v>9.6000000000000014</v>
      </c>
      <c r="E233" s="30">
        <f>120/150*24</f>
        <v>19.200000000000003</v>
      </c>
      <c r="F233" s="89">
        <f>(C233+E233)*4+D233*9</f>
        <v>220.8</v>
      </c>
      <c r="G233" s="89">
        <f>(C233+E233)*17+D233*37</f>
        <v>926.40000000000009</v>
      </c>
      <c r="H233" s="47">
        <v>0</v>
      </c>
      <c r="I233" s="97" t="s">
        <v>81</v>
      </c>
    </row>
    <row r="234" spans="1:10" ht="15.75" x14ac:dyDescent="0.25">
      <c r="A234" s="4" t="s">
        <v>73</v>
      </c>
      <c r="B234" s="5">
        <f>0.5*80</f>
        <v>40</v>
      </c>
      <c r="C234" s="6">
        <f>0.5*80/50*3.39</f>
        <v>2.7120000000000002</v>
      </c>
      <c r="D234" s="6">
        <f>0.5*80/50*6.98</f>
        <v>5.5840000000000005</v>
      </c>
      <c r="E234" s="6">
        <f>0.5*80/50*26.07</f>
        <v>20.856000000000002</v>
      </c>
      <c r="F234" s="89">
        <f t="shared" ref="F234:F235" si="164">(C234+E234)*4+D234*9</f>
        <v>144.52800000000002</v>
      </c>
      <c r="G234" s="89">
        <f t="shared" ref="G234:G235" si="165">(C234+E234)*17+D234*37</f>
        <v>607.26400000000001</v>
      </c>
      <c r="H234" s="45">
        <v>0</v>
      </c>
      <c r="I234" s="94">
        <v>470</v>
      </c>
    </row>
    <row r="235" spans="1:10" ht="15.75" x14ac:dyDescent="0.2">
      <c r="A235" s="4" t="s">
        <v>57</v>
      </c>
      <c r="B235" s="42">
        <f>150/180*180</f>
        <v>150</v>
      </c>
      <c r="C235" s="6">
        <v>0</v>
      </c>
      <c r="D235" s="6">
        <v>0</v>
      </c>
      <c r="E235" s="6">
        <f>150/180*16.9</f>
        <v>14.083333333333332</v>
      </c>
      <c r="F235" s="97">
        <f t="shared" si="164"/>
        <v>56.333333333333329</v>
      </c>
      <c r="G235" s="97">
        <f t="shared" si="165"/>
        <v>239.41666666666666</v>
      </c>
      <c r="H235" s="13">
        <f>150/180*1.4</f>
        <v>1.1666666666666667</v>
      </c>
      <c r="I235" s="94" t="s">
        <v>81</v>
      </c>
    </row>
    <row r="236" spans="1:10" ht="15.75" x14ac:dyDescent="0.25">
      <c r="A236" s="4" t="s">
        <v>42</v>
      </c>
      <c r="B236" s="5">
        <f>25/35*35</f>
        <v>25</v>
      </c>
      <c r="C236" s="6">
        <f>25/35*3</f>
        <v>2.1428571428571428</v>
      </c>
      <c r="D236" s="6">
        <f>25/35*0.5</f>
        <v>0.35714285714285715</v>
      </c>
      <c r="E236" s="6">
        <f>25/35*15.8</f>
        <v>11.285714285714286</v>
      </c>
      <c r="F236" s="89">
        <f t="shared" ref="F236" si="166">(C236+E236)*4+D236*9</f>
        <v>56.928571428571431</v>
      </c>
      <c r="G236" s="89">
        <f t="shared" ref="G236" si="167">(C236+E236)*17+D236*37</f>
        <v>241.5</v>
      </c>
      <c r="H236" s="13">
        <v>0</v>
      </c>
      <c r="I236" s="120"/>
    </row>
    <row r="237" spans="1:10" ht="16.5" thickBot="1" x14ac:dyDescent="0.3">
      <c r="A237" s="9" t="s">
        <v>1</v>
      </c>
      <c r="B237" s="27">
        <f>B232+120+B234+B235+B236</f>
        <v>365</v>
      </c>
      <c r="C237" s="28">
        <f t="shared" ref="C237:H237" si="168">SUM(C232:C236)</f>
        <v>19.674857142857142</v>
      </c>
      <c r="D237" s="28">
        <f t="shared" si="168"/>
        <v>16.921142857142858</v>
      </c>
      <c r="E237" s="28">
        <f t="shared" si="168"/>
        <v>68.515047619047621</v>
      </c>
      <c r="F237" s="57">
        <f t="shared" si="168"/>
        <v>505.04990476190477</v>
      </c>
      <c r="G237" s="57">
        <f t="shared" si="168"/>
        <v>2125.3106666666672</v>
      </c>
      <c r="H237" s="28">
        <f t="shared" si="168"/>
        <v>5.666666666666667</v>
      </c>
      <c r="I237" s="100"/>
      <c r="J237" s="142"/>
    </row>
    <row r="238" spans="1:10" ht="16.5" thickBot="1" x14ac:dyDescent="0.3">
      <c r="A238" s="53" t="s">
        <v>10</v>
      </c>
      <c r="B238" s="172">
        <f>B237+B230+B222+B219</f>
        <v>1380</v>
      </c>
      <c r="C238" s="123">
        <f t="shared" ref="C238:H238" si="169">C237+C230+C222+C219</f>
        <v>48.451100529100529</v>
      </c>
      <c r="D238" s="123">
        <f t="shared" si="169"/>
        <v>47.057253968253967</v>
      </c>
      <c r="E238" s="123">
        <f t="shared" si="169"/>
        <v>209.09266666666667</v>
      </c>
      <c r="F238" s="172">
        <f t="shared" si="169"/>
        <v>1453.6903544973543</v>
      </c>
      <c r="G238" s="172">
        <f t="shared" si="169"/>
        <v>6119.3624391534395</v>
      </c>
      <c r="H238" s="123">
        <f t="shared" si="169"/>
        <v>35.411111111111111</v>
      </c>
      <c r="I238" s="104"/>
      <c r="J238" s="142"/>
    </row>
    <row r="239" spans="1:10" ht="16.5" thickBot="1" x14ac:dyDescent="0.3">
      <c r="A239" s="178" t="s">
        <v>6</v>
      </c>
      <c r="B239" s="179">
        <v>10</v>
      </c>
      <c r="C239" s="18"/>
      <c r="D239" s="18"/>
      <c r="E239" s="18"/>
      <c r="F239" s="91"/>
      <c r="G239" s="138"/>
      <c r="H239" s="137"/>
      <c r="I239" s="185"/>
    </row>
    <row r="240" spans="1:10" ht="15.75" x14ac:dyDescent="0.25">
      <c r="A240" s="71" t="s">
        <v>21</v>
      </c>
      <c r="B240" s="38"/>
      <c r="C240" s="38"/>
      <c r="D240" s="38"/>
      <c r="E240" s="38"/>
      <c r="F240" s="146"/>
      <c r="G240" s="146"/>
      <c r="H240" s="38"/>
      <c r="I240" s="111"/>
    </row>
    <row r="241" spans="1:10" ht="15.75" x14ac:dyDescent="0.25">
      <c r="A241" s="24" t="s">
        <v>54</v>
      </c>
      <c r="B241" s="29" t="s">
        <v>143</v>
      </c>
      <c r="C241" s="30">
        <v>19.8</v>
      </c>
      <c r="D241" s="30">
        <v>10</v>
      </c>
      <c r="E241" s="30">
        <v>38.1</v>
      </c>
      <c r="F241" s="89">
        <f t="shared" ref="F241" si="170">(C241+E241)*4+D241*9</f>
        <v>321.60000000000002</v>
      </c>
      <c r="G241" s="89">
        <f t="shared" ref="G241" si="171">(C241+E241)*17+D241*37</f>
        <v>1354.3000000000002</v>
      </c>
      <c r="H241" s="47">
        <f>165/105*0.3</f>
        <v>0.47142857142857142</v>
      </c>
      <c r="I241" s="89">
        <v>186</v>
      </c>
    </row>
    <row r="242" spans="1:10" ht="15.75" x14ac:dyDescent="0.25">
      <c r="A242" s="4" t="s">
        <v>151</v>
      </c>
      <c r="B242" s="159" t="s">
        <v>44</v>
      </c>
      <c r="C242" s="26">
        <v>7.1</v>
      </c>
      <c r="D242" s="26">
        <v>8.5</v>
      </c>
      <c r="E242" s="26">
        <v>22.5</v>
      </c>
      <c r="F242" s="89">
        <f t="shared" ref="F242" si="172">(C242+E242)*4+D242*9</f>
        <v>194.9</v>
      </c>
      <c r="G242" s="89">
        <f t="shared" ref="G242" si="173">(C242+E242)*17+D242*37</f>
        <v>817.7</v>
      </c>
      <c r="H242" s="46">
        <v>0.11</v>
      </c>
      <c r="I242" s="89">
        <v>3</v>
      </c>
      <c r="J242" s="142"/>
    </row>
    <row r="243" spans="1:10" ht="15.75" x14ac:dyDescent="0.25">
      <c r="A243" s="4" t="s">
        <v>45</v>
      </c>
      <c r="B243" s="5">
        <f>150/200*200</f>
        <v>150</v>
      </c>
      <c r="C243" s="6">
        <v>2.2000000000000002</v>
      </c>
      <c r="D243" s="6">
        <f>150/200*2.5</f>
        <v>1.875</v>
      </c>
      <c r="E243" s="6">
        <v>13.3</v>
      </c>
      <c r="F243" s="89">
        <f t="shared" ref="F243" si="174">(C243+E243)*4+D243*9</f>
        <v>78.875</v>
      </c>
      <c r="G243" s="89">
        <f t="shared" ref="G243" si="175">(C243+E243)*17+D243*37</f>
        <v>332.875</v>
      </c>
      <c r="H243" s="13">
        <v>0.5</v>
      </c>
      <c r="I243" s="89" t="s">
        <v>81</v>
      </c>
    </row>
    <row r="244" spans="1:10" ht="16.5" thickBot="1" x14ac:dyDescent="0.3">
      <c r="A244" s="9" t="s">
        <v>1</v>
      </c>
      <c r="B244" s="57">
        <f>155+45+B243</f>
        <v>350</v>
      </c>
      <c r="C244" s="28">
        <f>SUM(C241:C243)</f>
        <v>29.099999999999998</v>
      </c>
      <c r="D244" s="28">
        <f>SUM(D241:D243)</f>
        <v>20.375</v>
      </c>
      <c r="E244" s="28">
        <f t="shared" ref="E244:H244" si="176">SUM(E241:E243)</f>
        <v>73.900000000000006</v>
      </c>
      <c r="F244" s="57">
        <f t="shared" si="176"/>
        <v>595.375</v>
      </c>
      <c r="G244" s="57">
        <f t="shared" si="176"/>
        <v>2504.875</v>
      </c>
      <c r="H244" s="28">
        <f t="shared" si="176"/>
        <v>1.0814285714285714</v>
      </c>
      <c r="I244" s="135"/>
      <c r="J244" s="142"/>
    </row>
    <row r="245" spans="1:10" ht="16.5" thickBot="1" x14ac:dyDescent="0.3">
      <c r="A245" s="186" t="s">
        <v>35</v>
      </c>
      <c r="B245" s="82"/>
      <c r="C245" s="82"/>
      <c r="D245" s="82"/>
      <c r="E245" s="82"/>
      <c r="F245" s="154" t="s">
        <v>175</v>
      </c>
      <c r="G245" s="154"/>
      <c r="H245" s="82"/>
      <c r="I245" s="115"/>
    </row>
    <row r="246" spans="1:10" ht="15.75" x14ac:dyDescent="0.25">
      <c r="A246" s="4" t="s">
        <v>8</v>
      </c>
      <c r="B246" s="5">
        <f>150/180*180</f>
        <v>150</v>
      </c>
      <c r="C246" s="6">
        <f>150/180*5.6</f>
        <v>4.666666666666667</v>
      </c>
      <c r="D246" s="6">
        <f>150/180*6.4</f>
        <v>5.3333333333333339</v>
      </c>
      <c r="E246" s="6">
        <f>150/180*9.4</f>
        <v>7.8333333333333339</v>
      </c>
      <c r="F246" s="89">
        <f t="shared" ref="F246" si="177">(C246+E246)*4+D246*9</f>
        <v>98</v>
      </c>
      <c r="G246" s="97">
        <f t="shared" ref="G246" si="178">(C246+E246)*17+D246*37</f>
        <v>409.83333333333337</v>
      </c>
      <c r="H246" s="13">
        <f>150/180*0.6</f>
        <v>0.5</v>
      </c>
      <c r="I246" s="111">
        <v>399</v>
      </c>
    </row>
    <row r="247" spans="1:10" ht="16.5" thickBot="1" x14ac:dyDescent="0.3">
      <c r="A247" s="9" t="s">
        <v>1</v>
      </c>
      <c r="B247" s="57">
        <f t="shared" ref="B247:H247" si="179">SUM(B246:B246)</f>
        <v>150</v>
      </c>
      <c r="C247" s="28">
        <f t="shared" si="179"/>
        <v>4.666666666666667</v>
      </c>
      <c r="D247" s="28">
        <f t="shared" si="179"/>
        <v>5.3333333333333339</v>
      </c>
      <c r="E247" s="28">
        <f t="shared" si="179"/>
        <v>7.8333333333333339</v>
      </c>
      <c r="F247" s="57">
        <f t="shared" si="179"/>
        <v>98</v>
      </c>
      <c r="G247" s="57">
        <f t="shared" si="179"/>
        <v>409.83333333333337</v>
      </c>
      <c r="H247" s="28">
        <f t="shared" si="179"/>
        <v>0.5</v>
      </c>
      <c r="I247" s="103"/>
    </row>
    <row r="248" spans="1:10" ht="15.75" x14ac:dyDescent="0.2">
      <c r="A248" s="187" t="s">
        <v>3</v>
      </c>
      <c r="B248" s="75"/>
      <c r="C248" s="75"/>
      <c r="D248" s="75"/>
      <c r="E248" s="75"/>
      <c r="F248" s="155"/>
      <c r="G248" s="155"/>
      <c r="H248" s="75"/>
      <c r="I248" s="116"/>
      <c r="J248" s="144"/>
    </row>
    <row r="249" spans="1:10" ht="15.75" x14ac:dyDescent="0.25">
      <c r="A249" s="4" t="s">
        <v>88</v>
      </c>
      <c r="B249" s="29">
        <f>30/50*50</f>
        <v>30</v>
      </c>
      <c r="C249" s="30">
        <f>30/50*0.5*1.5</f>
        <v>0.44999999999999996</v>
      </c>
      <c r="D249" s="30">
        <f>30/50*2.7</f>
        <v>1.62</v>
      </c>
      <c r="E249" s="30">
        <f>30/50*5.5</f>
        <v>3.3</v>
      </c>
      <c r="F249" s="89">
        <f>(C249+E249)*4+D249*9</f>
        <v>29.580000000000002</v>
      </c>
      <c r="G249" s="97">
        <f>(C249+E249)*17+D249*37</f>
        <v>123.69</v>
      </c>
      <c r="H249" s="83">
        <f>30/50*9.6</f>
        <v>5.76</v>
      </c>
      <c r="I249" s="89">
        <v>24</v>
      </c>
      <c r="J249" s="142"/>
    </row>
    <row r="250" spans="1:10" ht="15.75" x14ac:dyDescent="0.25">
      <c r="A250" s="4" t="s">
        <v>80</v>
      </c>
      <c r="B250" s="5">
        <v>150</v>
      </c>
      <c r="C250" s="6">
        <f>150/200*200/250*6.5</f>
        <v>3.9</v>
      </c>
      <c r="D250" s="6">
        <f>150/200*200/250*4.3</f>
        <v>2.5799999999999996</v>
      </c>
      <c r="E250" s="6">
        <f>150/200*200/250*19.8</f>
        <v>11.88</v>
      </c>
      <c r="F250" s="89">
        <f t="shared" ref="F250:F251" si="180">(C250+E250)*4+D250*9</f>
        <v>86.34</v>
      </c>
      <c r="G250" s="89">
        <f t="shared" ref="G250:G251" si="181">(C250+E250)*17+D250*37</f>
        <v>363.71999999999997</v>
      </c>
      <c r="H250" s="45">
        <f>150/200*200/250*12</f>
        <v>7.1999999999999993</v>
      </c>
      <c r="I250" s="89" t="s">
        <v>81</v>
      </c>
    </row>
    <row r="251" spans="1:10" ht="15.75" x14ac:dyDescent="0.25">
      <c r="A251" s="4" t="s">
        <v>144</v>
      </c>
      <c r="B251" s="42">
        <v>150</v>
      </c>
      <c r="C251" s="43">
        <v>8</v>
      </c>
      <c r="D251" s="43">
        <v>10.199999999999999</v>
      </c>
      <c r="E251" s="43">
        <v>12.1</v>
      </c>
      <c r="F251" s="89">
        <f t="shared" si="180"/>
        <v>172.2</v>
      </c>
      <c r="G251" s="97">
        <f t="shared" si="181"/>
        <v>719.1</v>
      </c>
      <c r="H251" s="84">
        <v>42.8</v>
      </c>
      <c r="I251" s="97" t="s">
        <v>81</v>
      </c>
      <c r="J251" s="142"/>
    </row>
    <row r="252" spans="1:10" ht="15.75" x14ac:dyDescent="0.25">
      <c r="A252" s="4" t="s">
        <v>26</v>
      </c>
      <c r="B252" s="25">
        <f>150/200*200</f>
        <v>150</v>
      </c>
      <c r="C252" s="26">
        <f>150/200*0.1</f>
        <v>7.5000000000000011E-2</v>
      </c>
      <c r="D252" s="26">
        <v>0.1</v>
      </c>
      <c r="E252" s="26">
        <v>13.3</v>
      </c>
      <c r="F252" s="89">
        <f t="shared" ref="F252:F254" si="182">(C252+E252)*4+D252*9</f>
        <v>54.4</v>
      </c>
      <c r="G252" s="89">
        <f t="shared" ref="G252:G254" si="183">(C252+E252)*17+D252*37</f>
        <v>231.07499999999999</v>
      </c>
      <c r="H252" s="85">
        <f>150/200*1.58</f>
        <v>1.1850000000000001</v>
      </c>
      <c r="I252" s="97" t="s">
        <v>81</v>
      </c>
      <c r="J252" s="142"/>
    </row>
    <row r="253" spans="1:10" ht="15.75" x14ac:dyDescent="0.25">
      <c r="A253" s="4" t="s">
        <v>4</v>
      </c>
      <c r="B253" s="5">
        <f>25/35*35</f>
        <v>25</v>
      </c>
      <c r="C253" s="13">
        <f>25/35*2.3</f>
        <v>1.6428571428571428</v>
      </c>
      <c r="D253" s="13">
        <f>25/35*0.4</f>
        <v>0.28571428571428575</v>
      </c>
      <c r="E253" s="13">
        <f>25/35*8.3</f>
        <v>5.9285714285714288</v>
      </c>
      <c r="F253" s="89">
        <f t="shared" si="182"/>
        <v>32.857142857142854</v>
      </c>
      <c r="G253" s="89">
        <f t="shared" si="183"/>
        <v>139.28571428571431</v>
      </c>
      <c r="H253" s="13">
        <v>0</v>
      </c>
      <c r="I253" s="121"/>
      <c r="J253" s="142"/>
    </row>
    <row r="254" spans="1:10" ht="15.75" x14ac:dyDescent="0.25">
      <c r="A254" s="4" t="s">
        <v>0</v>
      </c>
      <c r="B254" s="5">
        <f>25/35*35</f>
        <v>25</v>
      </c>
      <c r="C254" s="13">
        <f>25/35*2.7</f>
        <v>1.9285714285714288</v>
      </c>
      <c r="D254" s="13">
        <f>25/35*0.3</f>
        <v>0.21428571428571427</v>
      </c>
      <c r="E254" s="13">
        <f>25/35*17.2</f>
        <v>12.285714285714285</v>
      </c>
      <c r="F254" s="89">
        <f t="shared" si="182"/>
        <v>58.785714285714285</v>
      </c>
      <c r="G254" s="89">
        <f t="shared" si="183"/>
        <v>249.57142857142856</v>
      </c>
      <c r="H254" s="13">
        <v>0</v>
      </c>
      <c r="I254" s="109"/>
      <c r="J254" s="142"/>
    </row>
    <row r="255" spans="1:10" ht="16.5" thickBot="1" x14ac:dyDescent="0.3">
      <c r="A255" s="21" t="s">
        <v>1</v>
      </c>
      <c r="B255" s="32">
        <f>SUM(B249:B254)</f>
        <v>530</v>
      </c>
      <c r="C255" s="33">
        <f>SUM(C249:C254)</f>
        <v>15.99642857142857</v>
      </c>
      <c r="D255" s="33">
        <f>SUM(D249:D254)</f>
        <v>14.999999999999998</v>
      </c>
      <c r="E255" s="33">
        <f t="shared" ref="E255:H255" si="184">SUM(E249:E254)</f>
        <v>58.794285714285714</v>
      </c>
      <c r="F255" s="151">
        <f>SUM(F249:F254)</f>
        <v>434.16285714285709</v>
      </c>
      <c r="G255" s="151">
        <f t="shared" si="184"/>
        <v>1826.4421428571427</v>
      </c>
      <c r="H255" s="86">
        <f t="shared" si="184"/>
        <v>56.945</v>
      </c>
      <c r="I255" s="104"/>
      <c r="J255" s="142"/>
    </row>
    <row r="256" spans="1:10" ht="15.75" x14ac:dyDescent="0.25">
      <c r="A256" s="71" t="s">
        <v>5</v>
      </c>
      <c r="B256" s="38"/>
      <c r="C256" s="38"/>
      <c r="D256" s="38"/>
      <c r="E256" s="38"/>
      <c r="F256" s="146"/>
      <c r="G256" s="146"/>
      <c r="H256" s="38"/>
      <c r="I256" s="111"/>
      <c r="J256" s="142"/>
    </row>
    <row r="257" spans="1:9" ht="15.75" x14ac:dyDescent="0.25">
      <c r="A257" s="4" t="s">
        <v>122</v>
      </c>
      <c r="B257" s="25">
        <f>30/50*50</f>
        <v>30</v>
      </c>
      <c r="C257" s="61">
        <v>0.2</v>
      </c>
      <c r="D257" s="61">
        <v>0</v>
      </c>
      <c r="E257" s="61">
        <v>1.4</v>
      </c>
      <c r="F257" s="89">
        <f>(C257+E257)*4+D257*9</f>
        <v>6.3999999999999995</v>
      </c>
      <c r="G257" s="89">
        <f>(C257+E257)*17+D257*37</f>
        <v>27.2</v>
      </c>
      <c r="H257" s="61">
        <v>7.5</v>
      </c>
      <c r="I257" s="115"/>
    </row>
    <row r="258" spans="1:9" ht="15.75" x14ac:dyDescent="0.25">
      <c r="A258" s="4" t="s">
        <v>153</v>
      </c>
      <c r="B258" s="25">
        <v>70</v>
      </c>
      <c r="C258" s="26">
        <v>6</v>
      </c>
      <c r="D258" s="26">
        <v>1.3</v>
      </c>
      <c r="E258" s="26">
        <v>3.2</v>
      </c>
      <c r="F258" s="89">
        <f t="shared" ref="F258:F260" si="185">(C258+E258)*4+D258*9</f>
        <v>48.5</v>
      </c>
      <c r="G258" s="97">
        <f>(C258+E258)*17+D258*37</f>
        <v>204.49999999999997</v>
      </c>
      <c r="H258" s="31">
        <v>0</v>
      </c>
      <c r="I258" s="102" t="s">
        <v>81</v>
      </c>
    </row>
    <row r="259" spans="1:9" ht="15.75" x14ac:dyDescent="0.25">
      <c r="A259" s="4" t="s">
        <v>145</v>
      </c>
      <c r="B259" s="25">
        <f>100/120*120</f>
        <v>100</v>
      </c>
      <c r="C259" s="26">
        <f>100/120*1.2*1.8</f>
        <v>1.8</v>
      </c>
      <c r="D259" s="26">
        <f>100/120*1.2*2.7</f>
        <v>2.7</v>
      </c>
      <c r="E259" s="26">
        <f>100/120*1.2*11.1</f>
        <v>11.1</v>
      </c>
      <c r="F259" s="89">
        <f t="shared" si="185"/>
        <v>75.900000000000006</v>
      </c>
      <c r="G259" s="89">
        <f t="shared" ref="G259:G260" si="186">(C259+E259)*17+D259*37</f>
        <v>319.20000000000005</v>
      </c>
      <c r="H259" s="31">
        <f>100/120*1.2*3.5</f>
        <v>3.5</v>
      </c>
      <c r="I259" s="94" t="s">
        <v>81</v>
      </c>
    </row>
    <row r="260" spans="1:9" ht="67.5" customHeight="1" x14ac:dyDescent="0.25">
      <c r="A260" s="24" t="s">
        <v>96</v>
      </c>
      <c r="B260" s="29">
        <f>150/180*180</f>
        <v>150</v>
      </c>
      <c r="C260" s="160">
        <f>150/180*0.9</f>
        <v>0.75</v>
      </c>
      <c r="D260" s="160">
        <f>150/180*0.18</f>
        <v>0.15</v>
      </c>
      <c r="E260" s="160">
        <f>150/180*18.2</f>
        <v>15.166666666666666</v>
      </c>
      <c r="F260" s="106">
        <f t="shared" si="185"/>
        <v>65.016666666666666</v>
      </c>
      <c r="G260" s="106">
        <f t="shared" si="186"/>
        <v>276.13333333333333</v>
      </c>
      <c r="H260" s="161">
        <f>150/180*3.6</f>
        <v>3</v>
      </c>
      <c r="I260" s="162">
        <v>399</v>
      </c>
    </row>
    <row r="261" spans="1:9" ht="15.75" x14ac:dyDescent="0.25">
      <c r="A261" s="4" t="s">
        <v>58</v>
      </c>
      <c r="B261" s="25">
        <f>0.5*40</f>
        <v>20</v>
      </c>
      <c r="C261" s="26">
        <f>0.5*0.4*6.7</f>
        <v>1.34</v>
      </c>
      <c r="D261" s="26">
        <f>0.5*0.4*25.8</f>
        <v>5.16</v>
      </c>
      <c r="E261" s="26">
        <f>0.5*0.4*64.6</f>
        <v>12.92</v>
      </c>
      <c r="F261" s="89">
        <f>(C261+E261)*4+D261*9</f>
        <v>103.47999999999999</v>
      </c>
      <c r="G261" s="89">
        <f>(C261+E261)*17+D261*37</f>
        <v>433.34000000000003</v>
      </c>
      <c r="H261" s="31">
        <v>0</v>
      </c>
      <c r="I261" s="96"/>
    </row>
    <row r="262" spans="1:9" ht="15.75" x14ac:dyDescent="0.25">
      <c r="A262" s="4" t="s">
        <v>42</v>
      </c>
      <c r="B262" s="5">
        <f>25/35*35</f>
        <v>25</v>
      </c>
      <c r="C262" s="6">
        <f>25/35*3</f>
        <v>2.1428571428571428</v>
      </c>
      <c r="D262" s="6">
        <f>25/35*0.5</f>
        <v>0.35714285714285715</v>
      </c>
      <c r="E262" s="6">
        <f>25/35*15.8</f>
        <v>11.285714285714286</v>
      </c>
      <c r="F262" s="89">
        <f t="shared" ref="F262" si="187">(C262+E262)*4+D262*9</f>
        <v>56.928571428571431</v>
      </c>
      <c r="G262" s="97">
        <f t="shared" ref="G262" si="188">(C262+E262)*17+D262*37</f>
        <v>241.5</v>
      </c>
      <c r="H262" s="13">
        <v>0</v>
      </c>
      <c r="I262" s="100"/>
    </row>
    <row r="263" spans="1:9" ht="16.5" thickBot="1" x14ac:dyDescent="0.25">
      <c r="A263" s="9" t="s">
        <v>1</v>
      </c>
      <c r="B263" s="10">
        <f t="shared" ref="B263:H263" si="189">SUM(B257:B262)</f>
        <v>395</v>
      </c>
      <c r="C263" s="11">
        <f t="shared" si="189"/>
        <v>12.232857142857142</v>
      </c>
      <c r="D263" s="11">
        <f t="shared" si="189"/>
        <v>9.6671428571428581</v>
      </c>
      <c r="E263" s="11">
        <f t="shared" si="189"/>
        <v>55.072380952380954</v>
      </c>
      <c r="F263" s="73">
        <f t="shared" si="189"/>
        <v>356.22523809523807</v>
      </c>
      <c r="G263" s="73">
        <f t="shared" si="189"/>
        <v>1501.8733333333334</v>
      </c>
      <c r="H263" s="11">
        <f t="shared" si="189"/>
        <v>14</v>
      </c>
      <c r="I263" s="117"/>
    </row>
    <row r="264" spans="1:9" ht="15.75" x14ac:dyDescent="0.25">
      <c r="A264" s="67" t="s">
        <v>10</v>
      </c>
      <c r="B264" s="68">
        <f t="shared" ref="B264:H264" si="190">B263+B255+B247+B244</f>
        <v>1425</v>
      </c>
      <c r="C264" s="68">
        <f t="shared" si="190"/>
        <v>61.995952380952374</v>
      </c>
      <c r="D264" s="68">
        <f t="shared" si="190"/>
        <v>50.375476190476192</v>
      </c>
      <c r="E264" s="68">
        <f t="shared" si="190"/>
        <v>195.60000000000002</v>
      </c>
      <c r="F264" s="156">
        <f t="shared" si="190"/>
        <v>1483.763095238095</v>
      </c>
      <c r="G264" s="156">
        <f t="shared" si="190"/>
        <v>6243.0238095238092</v>
      </c>
      <c r="H264" s="68">
        <f t="shared" si="190"/>
        <v>72.526428571428568</v>
      </c>
      <c r="I264" s="118"/>
    </row>
    <row r="265" spans="1:9" ht="15.75" x14ac:dyDescent="0.2">
      <c r="A265" s="69" t="s">
        <v>33</v>
      </c>
      <c r="B265" s="70">
        <v>14000</v>
      </c>
      <c r="C265" s="70">
        <f t="shared" ref="C265:H265" si="191">C264+C238+C213+C187+C162+C135+C109+C83+C59+C33</f>
        <v>484.47741906241913</v>
      </c>
      <c r="D265" s="70">
        <f t="shared" si="191"/>
        <v>476.31115439571329</v>
      </c>
      <c r="E265" s="70">
        <f t="shared" si="191"/>
        <v>2147.2219007191065</v>
      </c>
      <c r="F265" s="157">
        <f t="shared" si="191"/>
        <v>14813.597668687522</v>
      </c>
      <c r="G265" s="157">
        <f t="shared" si="191"/>
        <v>62362.401148927333</v>
      </c>
      <c r="H265" s="70">
        <f t="shared" si="191"/>
        <v>558.16642495422548</v>
      </c>
      <c r="I265" s="100"/>
    </row>
    <row r="266" spans="1:9" ht="15.75" x14ac:dyDescent="0.2">
      <c r="A266" s="62" t="s">
        <v>34</v>
      </c>
      <c r="B266" s="63">
        <f>B265/10</f>
        <v>1400</v>
      </c>
      <c r="C266" s="63">
        <f>C265/10</f>
        <v>48.447741906241916</v>
      </c>
      <c r="D266" s="63">
        <f>D265/10</f>
        <v>47.631115439571332</v>
      </c>
      <c r="E266" s="63">
        <f t="shared" ref="E266:G266" si="192">E265/10</f>
        <v>214.72219007191066</v>
      </c>
      <c r="F266" s="158">
        <f t="shared" si="192"/>
        <v>1481.3597668687521</v>
      </c>
      <c r="G266" s="158">
        <f t="shared" si="192"/>
        <v>6236.2401148927329</v>
      </c>
      <c r="H266" s="63">
        <f>H265/10</f>
        <v>55.816642495422549</v>
      </c>
      <c r="I266" s="97"/>
    </row>
    <row r="267" spans="1:9" ht="31.5" x14ac:dyDescent="0.2">
      <c r="A267" s="62" t="s">
        <v>46</v>
      </c>
      <c r="B267" s="176" t="s">
        <v>159</v>
      </c>
      <c r="C267" s="66" t="s">
        <v>75</v>
      </c>
      <c r="D267" s="66" t="s">
        <v>76</v>
      </c>
      <c r="E267" s="66" t="s">
        <v>77</v>
      </c>
      <c r="F267" s="66" t="s">
        <v>78</v>
      </c>
      <c r="G267" s="66" t="s">
        <v>79</v>
      </c>
      <c r="H267" s="66"/>
      <c r="I267" s="100"/>
    </row>
    <row r="268" spans="1:9" ht="15.75" customHeight="1" x14ac:dyDescent="0.2">
      <c r="A268" s="190" t="s">
        <v>160</v>
      </c>
      <c r="B268" s="191"/>
      <c r="C268" s="191"/>
      <c r="D268" s="191"/>
      <c r="E268" s="191"/>
      <c r="F268" s="191"/>
      <c r="G268" s="191"/>
      <c r="H268" s="191"/>
      <c r="I268" s="192"/>
    </row>
    <row r="269" spans="1:9" ht="32.25" customHeight="1" x14ac:dyDescent="0.2">
      <c r="A269" s="190" t="s">
        <v>146</v>
      </c>
      <c r="B269" s="191"/>
      <c r="C269" s="191"/>
      <c r="D269" s="191"/>
      <c r="E269" s="191"/>
      <c r="F269" s="191"/>
      <c r="G269" s="191"/>
      <c r="H269" s="191"/>
      <c r="I269" s="192"/>
    </row>
  </sheetData>
  <mergeCells count="13">
    <mergeCell ref="A269:I269"/>
    <mergeCell ref="A268:I268"/>
    <mergeCell ref="A4:I4"/>
    <mergeCell ref="I8:I9"/>
    <mergeCell ref="A136:B136"/>
    <mergeCell ref="A10:I10"/>
    <mergeCell ref="A1:H3"/>
    <mergeCell ref="B6:D6"/>
    <mergeCell ref="A8:A9"/>
    <mergeCell ref="B8:B9"/>
    <mergeCell ref="C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2023-09-29T09:12:30Z</dcterms:modified>
</cp:coreProperties>
</file>